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9ebac392df425e/Documentos/Valéria/TRABALHO_UFPI/Dispensa Emergencial_FLORIANO/"/>
    </mc:Choice>
  </mc:AlternateContent>
  <xr:revisionPtr revIDLastSave="84" documentId="11_9AA81AAF4F20D874B965E6C6338908C8848E64BF" xr6:coauthVersionLast="47" xr6:coauthVersionMax="47" xr10:uidLastSave="{3984D3EF-45D3-46EF-A319-394D4E4C80AA}"/>
  <bookViews>
    <workbookView xWindow="-108" yWindow="-108" windowWidth="23256" windowHeight="12456" tabRatio="500" xr2:uid="{00000000-000D-0000-FFFF-FFFF00000000}"/>
  </bookViews>
  <sheets>
    <sheet name="QUADRO RESUMO" sheetId="1" r:id="rId1"/>
    <sheet name="PRODUTIVIDADE" sheetId="2" r:id="rId2"/>
    <sheet name="ENCARREGADO" sheetId="3" r:id="rId3"/>
    <sheet name="OPERADOR DE ROÇADEIRA" sheetId="4" r:id="rId4"/>
    <sheet name="SERV. INTERNO - PISOS " sheetId="5" r:id="rId5"/>
    <sheet name="SERV. INTERNO LABORATORIOS 20%" sheetId="6" r:id="rId6"/>
    <sheet name="SERV. INTERNO - ALMOXARIFADO" sheetId="7" r:id="rId7"/>
    <sheet name="SERV. INTERNO ALMOXARIFADO 20%" sheetId="8" r:id="rId8"/>
    <sheet name="SERV. INTERNO - SAGUÃO, HALL" sheetId="9" r:id="rId9"/>
    <sheet name="SERV. INTERNO BANHEIROS 40%" sheetId="10" r:id="rId10"/>
    <sheet name="SERV. EXTERNO - PISOS" sheetId="11" r:id="rId11"/>
    <sheet name="SERV. EXTERNO - VARRIÇÃO" sheetId="12" r:id="rId12"/>
    <sheet name="SERV. EXTERNO PÁTIOS ALTA FREQ." sheetId="13" r:id="rId13"/>
    <sheet name="SERV. EXTERNO PÁTIOS BAIXA FREQ" sheetId="14" r:id="rId14"/>
    <sheet name="SERV. EXTERNO COLETA" sheetId="15" r:id="rId15"/>
    <sheet name="MATERIAIS" sheetId="16" r:id="rId16"/>
    <sheet name="FERRAMENTAS E EQUIPAMENTOS" sheetId="17" r:id="rId17"/>
    <sheet name="EPIS" sheetId="18" r:id="rId18"/>
    <sheet name="UNIFORMES" sheetId="19" r:id="rId19"/>
  </sheets>
  <definedNames>
    <definedName name="_1Excel_BuiltIn_Print_Area_5_1">"$#REF!.$B$1:$G$74"</definedName>
    <definedName name="Excel_BuiltIn_Print_Area_1_1">"$#REF!.$A$1:$H$4"</definedName>
    <definedName name="Excel_BuiltIn_Print_Area_2_1" localSheetId="1">#REF!</definedName>
    <definedName name="Excel_BuiltIn_Print_Area_2_1">!#REF!</definedName>
    <definedName name="Excel_BuiltIn_Print_Area_3_1">"$#REF!.$B$1:$F$226"</definedName>
    <definedName name="Excel_BuiltIn_Print_Area_3_1_1">"$#REF!.$B$1:$F$226"</definedName>
    <definedName name="Excel_BuiltIn_Print_Area_5_1">"$#REF!.$B$1:$G$74"</definedName>
    <definedName name="Excel_BuiltIn_Print_Area_6" localSheetId="1">#REF!</definedName>
    <definedName name="Excel_BuiltIn_Print_Area_6">!#REF!</definedName>
    <definedName name="Excel_BuiltIn_Print_Area_6_1" localSheetId="1">#REF!</definedName>
    <definedName name="Excel_BuiltIn_Print_Area_6_1">!#REF!</definedName>
    <definedName name="Excel_BuiltIn_Print_Area_7">"$#REF!.$A$1:$H$150"</definedName>
    <definedName name="MOT">NA()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0" l="1"/>
  <c r="I29" i="10" s="1"/>
  <c r="I25" i="8"/>
  <c r="I25" i="6"/>
  <c r="G30" i="19"/>
  <c r="G29" i="19"/>
  <c r="G28" i="19"/>
  <c r="G27" i="19"/>
  <c r="G31" i="19" s="1"/>
  <c r="G32" i="19" s="1"/>
  <c r="G26" i="19"/>
  <c r="G20" i="19"/>
  <c r="G19" i="19"/>
  <c r="G18" i="19"/>
  <c r="G17" i="19"/>
  <c r="G21" i="19" s="1"/>
  <c r="G22" i="19" s="1"/>
  <c r="G16" i="19"/>
  <c r="G10" i="19"/>
  <c r="G9" i="19"/>
  <c r="G8" i="19"/>
  <c r="G7" i="19"/>
  <c r="G11" i="19" s="1"/>
  <c r="G12" i="19" s="1"/>
  <c r="I102" i="10" s="1"/>
  <c r="G6" i="19"/>
  <c r="G5" i="19"/>
  <c r="F30" i="18"/>
  <c r="F29" i="18"/>
  <c r="F28" i="18"/>
  <c r="F27" i="18"/>
  <c r="F31" i="18" s="1"/>
  <c r="F32" i="18" s="1"/>
  <c r="F26" i="18"/>
  <c r="F20" i="18"/>
  <c r="F21" i="18" s="1"/>
  <c r="F22" i="18" s="1"/>
  <c r="F14" i="18"/>
  <c r="F13" i="18"/>
  <c r="F12" i="18"/>
  <c r="F15" i="18" s="1"/>
  <c r="F16" i="18" s="1"/>
  <c r="F6" i="18"/>
  <c r="F7" i="18" s="1"/>
  <c r="F8" i="18" s="1"/>
  <c r="I101" i="15" s="1"/>
  <c r="F5" i="18"/>
  <c r="F4" i="18"/>
  <c r="F43" i="17"/>
  <c r="F42" i="17"/>
  <c r="H42" i="17" s="1"/>
  <c r="I42" i="17" s="1"/>
  <c r="I43" i="17" s="1"/>
  <c r="I45" i="17" s="1"/>
  <c r="H35" i="17"/>
  <c r="I35" i="17" s="1"/>
  <c r="F35" i="17"/>
  <c r="F34" i="17"/>
  <c r="F28" i="17"/>
  <c r="I27" i="17"/>
  <c r="I28" i="17" s="1"/>
  <c r="I30" i="17" s="1"/>
  <c r="I47" i="17" s="1"/>
  <c r="H27" i="17"/>
  <c r="F27" i="17"/>
  <c r="F18" i="17"/>
  <c r="F20" i="17" s="1"/>
  <c r="F17" i="17"/>
  <c r="F7" i="17"/>
  <c r="F6" i="17"/>
  <c r="F5" i="17"/>
  <c r="F67" i="16"/>
  <c r="F70" i="16" s="1"/>
  <c r="I100" i="12" s="1"/>
  <c r="F64" i="16"/>
  <c r="F65" i="16" s="1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58" i="16" s="1"/>
  <c r="F60" i="16" s="1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1" i="16" s="1"/>
  <c r="F33" i="16" s="1"/>
  <c r="B138" i="15"/>
  <c r="B136" i="15"/>
  <c r="B135" i="15"/>
  <c r="B134" i="15"/>
  <c r="B133" i="15"/>
  <c r="B132" i="15"/>
  <c r="H121" i="15"/>
  <c r="H119" i="15"/>
  <c r="I100" i="15"/>
  <c r="H90" i="15"/>
  <c r="H84" i="15"/>
  <c r="H83" i="15"/>
  <c r="H82" i="15"/>
  <c r="H81" i="15"/>
  <c r="H80" i="15"/>
  <c r="H71" i="15"/>
  <c r="H70" i="15"/>
  <c r="H69" i="15"/>
  <c r="H68" i="15"/>
  <c r="H48" i="15"/>
  <c r="H35" i="15"/>
  <c r="H33" i="15"/>
  <c r="I23" i="15"/>
  <c r="I29" i="15" s="1"/>
  <c r="B138" i="14"/>
  <c r="B136" i="14"/>
  <c r="B135" i="14"/>
  <c r="B134" i="14"/>
  <c r="B133" i="14"/>
  <c r="B132" i="14"/>
  <c r="H121" i="14"/>
  <c r="H119" i="14"/>
  <c r="I100" i="14"/>
  <c r="H90" i="14"/>
  <c r="H84" i="14"/>
  <c r="H83" i="14"/>
  <c r="H82" i="14"/>
  <c r="H81" i="14"/>
  <c r="H80" i="14"/>
  <c r="H70" i="14"/>
  <c r="H69" i="14"/>
  <c r="H68" i="14"/>
  <c r="H48" i="14"/>
  <c r="H71" i="14" s="1"/>
  <c r="H33" i="14"/>
  <c r="H35" i="14" s="1"/>
  <c r="I23" i="14"/>
  <c r="B138" i="13"/>
  <c r="B136" i="13"/>
  <c r="B135" i="13"/>
  <c r="B134" i="13"/>
  <c r="B133" i="13"/>
  <c r="B132" i="13"/>
  <c r="H121" i="13"/>
  <c r="H119" i="13"/>
  <c r="I102" i="13"/>
  <c r="I100" i="13"/>
  <c r="H90" i="13"/>
  <c r="H86" i="13"/>
  <c r="H84" i="13"/>
  <c r="H83" i="13"/>
  <c r="H82" i="13"/>
  <c r="H81" i="13"/>
  <c r="H80" i="13"/>
  <c r="H71" i="13"/>
  <c r="H70" i="13"/>
  <c r="H69" i="13"/>
  <c r="H68" i="13"/>
  <c r="I63" i="13"/>
  <c r="H48" i="13"/>
  <c r="H35" i="13"/>
  <c r="H33" i="13"/>
  <c r="I29" i="13"/>
  <c r="I23" i="13"/>
  <c r="I54" i="13" s="1"/>
  <c r="I55" i="13" s="1"/>
  <c r="I61" i="13" s="1"/>
  <c r="B138" i="12"/>
  <c r="B136" i="12"/>
  <c r="B135" i="12"/>
  <c r="B134" i="12"/>
  <c r="B133" i="12"/>
  <c r="B132" i="12"/>
  <c r="H121" i="12"/>
  <c r="H119" i="12"/>
  <c r="I102" i="12"/>
  <c r="H90" i="12"/>
  <c r="H84" i="12"/>
  <c r="H83" i="12"/>
  <c r="H82" i="12"/>
  <c r="H81" i="12"/>
  <c r="H80" i="12"/>
  <c r="H70" i="12"/>
  <c r="H68" i="12"/>
  <c r="H69" i="12" s="1"/>
  <c r="H48" i="12"/>
  <c r="H35" i="12"/>
  <c r="H33" i="12"/>
  <c r="I23" i="12"/>
  <c r="I29" i="12" s="1"/>
  <c r="I89" i="12" s="1"/>
  <c r="I90" i="12" s="1"/>
  <c r="I95" i="12" s="1"/>
  <c r="B138" i="11"/>
  <c r="B136" i="11"/>
  <c r="B135" i="11"/>
  <c r="B134" i="11"/>
  <c r="B133" i="11"/>
  <c r="B132" i="11"/>
  <c r="H121" i="11"/>
  <c r="H119" i="11"/>
  <c r="I102" i="11"/>
  <c r="I101" i="11"/>
  <c r="I100" i="11"/>
  <c r="H90" i="11"/>
  <c r="H84" i="11"/>
  <c r="H83" i="11"/>
  <c r="H82" i="11"/>
  <c r="H81" i="11"/>
  <c r="H80" i="11"/>
  <c r="H70" i="11"/>
  <c r="H69" i="11"/>
  <c r="H68" i="11"/>
  <c r="I54" i="11"/>
  <c r="I55" i="11" s="1"/>
  <c r="I61" i="11" s="1"/>
  <c r="H48" i="11"/>
  <c r="H35" i="11"/>
  <c r="H33" i="11"/>
  <c r="I29" i="11"/>
  <c r="I89" i="11" s="1"/>
  <c r="I90" i="11" s="1"/>
  <c r="I95" i="11" s="1"/>
  <c r="I23" i="11"/>
  <c r="B138" i="10"/>
  <c r="B136" i="10"/>
  <c r="B135" i="10"/>
  <c r="B134" i="10"/>
  <c r="B133" i="10"/>
  <c r="B132" i="10"/>
  <c r="H121" i="10"/>
  <c r="H119" i="10"/>
  <c r="I103" i="10"/>
  <c r="I101" i="10"/>
  <c r="H90" i="10"/>
  <c r="H86" i="10"/>
  <c r="H84" i="10"/>
  <c r="H83" i="10"/>
  <c r="H82" i="10"/>
  <c r="H81" i="10"/>
  <c r="H80" i="10"/>
  <c r="H71" i="10"/>
  <c r="H70" i="10"/>
  <c r="H69" i="10"/>
  <c r="H68" i="10"/>
  <c r="I54" i="10"/>
  <c r="I55" i="10" s="1"/>
  <c r="I61" i="10" s="1"/>
  <c r="H48" i="10"/>
  <c r="H35" i="10"/>
  <c r="H33" i="10"/>
  <c r="I23" i="10"/>
  <c r="B138" i="9"/>
  <c r="B136" i="9"/>
  <c r="B135" i="9"/>
  <c r="B134" i="9"/>
  <c r="B133" i="9"/>
  <c r="B132" i="9"/>
  <c r="H121" i="9"/>
  <c r="H119" i="9"/>
  <c r="I103" i="9"/>
  <c r="I102" i="9"/>
  <c r="I101" i="9"/>
  <c r="H90" i="9"/>
  <c r="H84" i="9"/>
  <c r="H83" i="9"/>
  <c r="H82" i="9"/>
  <c r="H81" i="9"/>
  <c r="H80" i="9"/>
  <c r="H86" i="9" s="1"/>
  <c r="H70" i="9"/>
  <c r="H68" i="9"/>
  <c r="H48" i="9"/>
  <c r="H35" i="9"/>
  <c r="H33" i="9"/>
  <c r="I29" i="9"/>
  <c r="I105" i="9" s="1"/>
  <c r="I23" i="9"/>
  <c r="I54" i="9" s="1"/>
  <c r="I55" i="9" s="1"/>
  <c r="I61" i="9" s="1"/>
  <c r="B138" i="8"/>
  <c r="B136" i="8"/>
  <c r="B135" i="8"/>
  <c r="B134" i="8"/>
  <c r="B133" i="8"/>
  <c r="B132" i="8"/>
  <c r="H121" i="8"/>
  <c r="H119" i="8"/>
  <c r="I103" i="8"/>
  <c r="I102" i="8"/>
  <c r="I101" i="8"/>
  <c r="H90" i="8"/>
  <c r="H84" i="8"/>
  <c r="H83" i="8"/>
  <c r="H82" i="8"/>
  <c r="H81" i="8"/>
  <c r="H80" i="8"/>
  <c r="H71" i="8"/>
  <c r="H70" i="8"/>
  <c r="H69" i="8"/>
  <c r="H68" i="8"/>
  <c r="H48" i="8"/>
  <c r="H33" i="8"/>
  <c r="H35" i="8" s="1"/>
  <c r="I23" i="8"/>
  <c r="I29" i="8" s="1"/>
  <c r="I33" i="8" s="1"/>
  <c r="B138" i="7"/>
  <c r="B136" i="7"/>
  <c r="B135" i="7"/>
  <c r="B134" i="7"/>
  <c r="B133" i="7"/>
  <c r="B132" i="7"/>
  <c r="H121" i="7"/>
  <c r="H119" i="7"/>
  <c r="I103" i="7"/>
  <c r="I102" i="7"/>
  <c r="I101" i="7"/>
  <c r="H90" i="7"/>
  <c r="H84" i="7"/>
  <c r="H83" i="7"/>
  <c r="H82" i="7"/>
  <c r="H81" i="7"/>
  <c r="H80" i="7"/>
  <c r="H86" i="7" s="1"/>
  <c r="H71" i="7"/>
  <c r="H70" i="7"/>
  <c r="H69" i="7"/>
  <c r="H68" i="7"/>
  <c r="H48" i="7"/>
  <c r="H35" i="7"/>
  <c r="I34" i="7"/>
  <c r="I33" i="7"/>
  <c r="H33" i="7"/>
  <c r="I23" i="7"/>
  <c r="I29" i="7" s="1"/>
  <c r="B138" i="6"/>
  <c r="B136" i="6"/>
  <c r="B135" i="6"/>
  <c r="B134" i="6"/>
  <c r="B133" i="6"/>
  <c r="B132" i="6"/>
  <c r="H121" i="6"/>
  <c r="H119" i="6"/>
  <c r="I103" i="6"/>
  <c r="I102" i="6"/>
  <c r="I101" i="6"/>
  <c r="H90" i="6"/>
  <c r="H84" i="6"/>
  <c r="H83" i="6"/>
  <c r="H82" i="6"/>
  <c r="H81" i="6"/>
  <c r="H80" i="6"/>
  <c r="H70" i="6"/>
  <c r="H69" i="6"/>
  <c r="H68" i="6"/>
  <c r="H48" i="6"/>
  <c r="H71" i="6" s="1"/>
  <c r="H33" i="6"/>
  <c r="H35" i="6" s="1"/>
  <c r="I23" i="6"/>
  <c r="B138" i="5"/>
  <c r="B136" i="5"/>
  <c r="B135" i="5"/>
  <c r="B134" i="5"/>
  <c r="B133" i="5"/>
  <c r="I132" i="5"/>
  <c r="B132" i="5"/>
  <c r="H121" i="5"/>
  <c r="H119" i="5"/>
  <c r="I103" i="5"/>
  <c r="I102" i="5"/>
  <c r="I101" i="5"/>
  <c r="H90" i="5"/>
  <c r="H84" i="5"/>
  <c r="H83" i="5"/>
  <c r="H82" i="5"/>
  <c r="H81" i="5"/>
  <c r="H80" i="5"/>
  <c r="H71" i="5"/>
  <c r="H70" i="5"/>
  <c r="H69" i="5"/>
  <c r="H68" i="5"/>
  <c r="I63" i="5"/>
  <c r="H48" i="5"/>
  <c r="I36" i="5"/>
  <c r="H33" i="5"/>
  <c r="H35" i="5" s="1"/>
  <c r="I29" i="5"/>
  <c r="I89" i="5" s="1"/>
  <c r="I90" i="5" s="1"/>
  <c r="I95" i="5" s="1"/>
  <c r="I23" i="5"/>
  <c r="I54" i="5" s="1"/>
  <c r="I55" i="5" s="1"/>
  <c r="I61" i="5" s="1"/>
  <c r="A140" i="4"/>
  <c r="B137" i="4"/>
  <c r="B135" i="4"/>
  <c r="B134" i="4"/>
  <c r="B133" i="4"/>
  <c r="B132" i="4"/>
  <c r="B131" i="4"/>
  <c r="H121" i="4"/>
  <c r="H119" i="4"/>
  <c r="I102" i="4"/>
  <c r="I101" i="4"/>
  <c r="H90" i="4"/>
  <c r="H84" i="4"/>
  <c r="H83" i="4"/>
  <c r="H82" i="4"/>
  <c r="H81" i="4"/>
  <c r="H80" i="4"/>
  <c r="H70" i="4"/>
  <c r="H69" i="4"/>
  <c r="H68" i="4"/>
  <c r="I63" i="4"/>
  <c r="I54" i="4"/>
  <c r="I55" i="4" s="1"/>
  <c r="I61" i="4" s="1"/>
  <c r="H48" i="4"/>
  <c r="H71" i="4" s="1"/>
  <c r="I36" i="4"/>
  <c r="I34" i="4"/>
  <c r="I33" i="4"/>
  <c r="I35" i="4" s="1"/>
  <c r="H33" i="4"/>
  <c r="H35" i="4" s="1"/>
  <c r="I23" i="4"/>
  <c r="I29" i="4" s="1"/>
  <c r="B137" i="3"/>
  <c r="B135" i="3"/>
  <c r="B134" i="3"/>
  <c r="B133" i="3"/>
  <c r="B132" i="3"/>
  <c r="B131" i="3"/>
  <c r="H121" i="3"/>
  <c r="H119" i="3"/>
  <c r="I102" i="3"/>
  <c r="I104" i="3" s="1"/>
  <c r="H90" i="3"/>
  <c r="H84" i="3"/>
  <c r="H83" i="3"/>
  <c r="H82" i="3"/>
  <c r="H81" i="3"/>
  <c r="H80" i="3"/>
  <c r="H71" i="3"/>
  <c r="H70" i="3"/>
  <c r="H69" i="3"/>
  <c r="H68" i="3"/>
  <c r="H48" i="3"/>
  <c r="I33" i="3"/>
  <c r="H33" i="3"/>
  <c r="H35" i="3" s="1"/>
  <c r="I23" i="3"/>
  <c r="I29" i="3" s="1"/>
  <c r="E317" i="2"/>
  <c r="D316" i="2"/>
  <c r="D315" i="2" s="1"/>
  <c r="C316" i="2"/>
  <c r="C315" i="2" s="1"/>
  <c r="E313" i="2"/>
  <c r="F313" i="2" s="1"/>
  <c r="G313" i="2" s="1"/>
  <c r="E312" i="2"/>
  <c r="F312" i="2" s="1"/>
  <c r="G312" i="2" s="1"/>
  <c r="E311" i="2"/>
  <c r="F311" i="2" s="1"/>
  <c r="D310" i="2"/>
  <c r="C310" i="2"/>
  <c r="G308" i="2"/>
  <c r="G307" i="2" s="1"/>
  <c r="E308" i="2"/>
  <c r="F308" i="2" s="1"/>
  <c r="F307" i="2"/>
  <c r="D307" i="2"/>
  <c r="C307" i="2"/>
  <c r="D305" i="2"/>
  <c r="G304" i="2"/>
  <c r="E304" i="2"/>
  <c r="F304" i="2" s="1"/>
  <c r="C303" i="2"/>
  <c r="E303" i="2" s="1"/>
  <c r="C302" i="2"/>
  <c r="G300" i="2"/>
  <c r="E300" i="2"/>
  <c r="F300" i="2" s="1"/>
  <c r="F299" i="2"/>
  <c r="G299" i="2" s="1"/>
  <c r="E299" i="2"/>
  <c r="E298" i="2"/>
  <c r="F298" i="2" s="1"/>
  <c r="G298" i="2" s="1"/>
  <c r="E297" i="2"/>
  <c r="D296" i="2"/>
  <c r="C296" i="2"/>
  <c r="E294" i="2"/>
  <c r="F294" i="2" s="1"/>
  <c r="G294" i="2" s="1"/>
  <c r="G293" i="2"/>
  <c r="G292" i="2" s="1"/>
  <c r="E293" i="2"/>
  <c r="F293" i="2" s="1"/>
  <c r="F292" i="2"/>
  <c r="D292" i="2"/>
  <c r="C292" i="2"/>
  <c r="C291" i="2"/>
  <c r="E289" i="2"/>
  <c r="D288" i="2"/>
  <c r="C288" i="2"/>
  <c r="E286" i="2"/>
  <c r="F286" i="2" s="1"/>
  <c r="G286" i="2" s="1"/>
  <c r="E285" i="2"/>
  <c r="F285" i="2" s="1"/>
  <c r="F284" i="2" s="1"/>
  <c r="D284" i="2"/>
  <c r="C284" i="2"/>
  <c r="G282" i="2"/>
  <c r="G281" i="2" s="1"/>
  <c r="E282" i="2"/>
  <c r="F282" i="2" s="1"/>
  <c r="F281" i="2"/>
  <c r="D281" i="2"/>
  <c r="C281" i="2"/>
  <c r="E279" i="2"/>
  <c r="F279" i="2" s="1"/>
  <c r="G279" i="2" s="1"/>
  <c r="G278" i="2"/>
  <c r="F278" i="2"/>
  <c r="E278" i="2"/>
  <c r="E277" i="2"/>
  <c r="E276" i="2" s="1"/>
  <c r="D276" i="2"/>
  <c r="C276" i="2"/>
  <c r="F273" i="2"/>
  <c r="F272" i="2" s="1"/>
  <c r="E273" i="2"/>
  <c r="E272" i="2"/>
  <c r="D272" i="2"/>
  <c r="C272" i="2"/>
  <c r="F270" i="2"/>
  <c r="G270" i="2" s="1"/>
  <c r="E270" i="2"/>
  <c r="F269" i="2"/>
  <c r="G269" i="2" s="1"/>
  <c r="E269" i="2"/>
  <c r="E268" i="2"/>
  <c r="F268" i="2" s="1"/>
  <c r="G268" i="2" s="1"/>
  <c r="E267" i="2"/>
  <c r="F267" i="2" s="1"/>
  <c r="F266" i="2" s="1"/>
  <c r="D266" i="2"/>
  <c r="C266" i="2"/>
  <c r="C265" i="2" s="1"/>
  <c r="D265" i="2"/>
  <c r="E263" i="2"/>
  <c r="F263" i="2" s="1"/>
  <c r="G263" i="2" s="1"/>
  <c r="E262" i="2"/>
  <c r="F262" i="2" s="1"/>
  <c r="G262" i="2" s="1"/>
  <c r="F261" i="2"/>
  <c r="F260" i="2" s="1"/>
  <c r="E261" i="2"/>
  <c r="D260" i="2"/>
  <c r="C260" i="2"/>
  <c r="F258" i="2"/>
  <c r="F257" i="2" s="1"/>
  <c r="E258" i="2"/>
  <c r="E257" i="2"/>
  <c r="D257" i="2"/>
  <c r="C257" i="2"/>
  <c r="F255" i="2"/>
  <c r="G255" i="2" s="1"/>
  <c r="E255" i="2"/>
  <c r="F254" i="2"/>
  <c r="G254" i="2" s="1"/>
  <c r="E254" i="2"/>
  <c r="E253" i="2"/>
  <c r="F253" i="2" s="1"/>
  <c r="G253" i="2" s="1"/>
  <c r="E252" i="2"/>
  <c r="F252" i="2" s="1"/>
  <c r="G252" i="2" s="1"/>
  <c r="F251" i="2"/>
  <c r="G251" i="2" s="1"/>
  <c r="E251" i="2"/>
  <c r="F250" i="2"/>
  <c r="E250" i="2"/>
  <c r="E249" i="2"/>
  <c r="D249" i="2"/>
  <c r="C249" i="2"/>
  <c r="E247" i="2"/>
  <c r="F247" i="2" s="1"/>
  <c r="E246" i="2"/>
  <c r="D246" i="2"/>
  <c r="C246" i="2"/>
  <c r="E244" i="2"/>
  <c r="F244" i="2" s="1"/>
  <c r="E243" i="2"/>
  <c r="F243" i="2" s="1"/>
  <c r="G243" i="2" s="1"/>
  <c r="E242" i="2"/>
  <c r="F242" i="2" s="1"/>
  <c r="G242" i="2" s="1"/>
  <c r="D241" i="2"/>
  <c r="C241" i="2"/>
  <c r="C240" i="2" s="1"/>
  <c r="D240" i="2"/>
  <c r="F237" i="2"/>
  <c r="G237" i="2" s="1"/>
  <c r="E237" i="2"/>
  <c r="E236" i="2"/>
  <c r="F236" i="2" s="1"/>
  <c r="G236" i="2" s="1"/>
  <c r="E235" i="2"/>
  <c r="F235" i="2" s="1"/>
  <c r="F234" i="2" s="1"/>
  <c r="D234" i="2"/>
  <c r="C234" i="2"/>
  <c r="E232" i="2"/>
  <c r="F232" i="2" s="1"/>
  <c r="G232" i="2" s="1"/>
  <c r="F231" i="2"/>
  <c r="F230" i="2" s="1"/>
  <c r="E231" i="2"/>
  <c r="E230" i="2"/>
  <c r="D230" i="2"/>
  <c r="C230" i="2"/>
  <c r="F228" i="2"/>
  <c r="G228" i="2" s="1"/>
  <c r="E228" i="2"/>
  <c r="E227" i="2"/>
  <c r="F227" i="2" s="1"/>
  <c r="E226" i="2"/>
  <c r="F226" i="2" s="1"/>
  <c r="G226" i="2" s="1"/>
  <c r="G225" i="2"/>
  <c r="E225" i="2"/>
  <c r="F225" i="2" s="1"/>
  <c r="D224" i="2"/>
  <c r="C224" i="2"/>
  <c r="E222" i="2"/>
  <c r="F222" i="2" s="1"/>
  <c r="G222" i="2" s="1"/>
  <c r="G221" i="2"/>
  <c r="F221" i="2"/>
  <c r="E221" i="2"/>
  <c r="F220" i="2"/>
  <c r="E220" i="2"/>
  <c r="D220" i="2"/>
  <c r="C220" i="2"/>
  <c r="F218" i="2"/>
  <c r="G218" i="2" s="1"/>
  <c r="E218" i="2"/>
  <c r="E217" i="2"/>
  <c r="F217" i="2" s="1"/>
  <c r="G217" i="2" s="1"/>
  <c r="E216" i="2"/>
  <c r="F216" i="2" s="1"/>
  <c r="G216" i="2" s="1"/>
  <c r="E215" i="2"/>
  <c r="F215" i="2" s="1"/>
  <c r="G215" i="2" s="1"/>
  <c r="F214" i="2"/>
  <c r="G214" i="2" s="1"/>
  <c r="C214" i="2"/>
  <c r="E214" i="2" s="1"/>
  <c r="D213" i="2"/>
  <c r="C213" i="2"/>
  <c r="F210" i="2"/>
  <c r="G210" i="2" s="1"/>
  <c r="E210" i="2"/>
  <c r="E209" i="2"/>
  <c r="F209" i="2" s="1"/>
  <c r="E208" i="2"/>
  <c r="D208" i="2"/>
  <c r="C208" i="2"/>
  <c r="E206" i="2"/>
  <c r="F206" i="2" s="1"/>
  <c r="G206" i="2" s="1"/>
  <c r="E205" i="2"/>
  <c r="D204" i="2"/>
  <c r="C204" i="2"/>
  <c r="E202" i="2"/>
  <c r="F202" i="2" s="1"/>
  <c r="G202" i="2" s="1"/>
  <c r="E201" i="2"/>
  <c r="F201" i="2" s="1"/>
  <c r="G201" i="2" s="1"/>
  <c r="G200" i="2"/>
  <c r="F200" i="2"/>
  <c r="E200" i="2"/>
  <c r="E199" i="2"/>
  <c r="F199" i="2" s="1"/>
  <c r="G199" i="2" s="1"/>
  <c r="E198" i="2"/>
  <c r="D197" i="2"/>
  <c r="C197" i="2"/>
  <c r="C196" i="2" s="1"/>
  <c r="C194" i="2"/>
  <c r="E194" i="2" s="1"/>
  <c r="F194" i="2" s="1"/>
  <c r="G194" i="2" s="1"/>
  <c r="G193" i="2"/>
  <c r="E193" i="2"/>
  <c r="F193" i="2" s="1"/>
  <c r="F192" i="2"/>
  <c r="D192" i="2"/>
  <c r="C192" i="2"/>
  <c r="E190" i="2"/>
  <c r="F190" i="2" s="1"/>
  <c r="G190" i="2" s="1"/>
  <c r="G189" i="2"/>
  <c r="F189" i="2"/>
  <c r="E189" i="2"/>
  <c r="E188" i="2"/>
  <c r="F188" i="2" s="1"/>
  <c r="G188" i="2" s="1"/>
  <c r="C188" i="2"/>
  <c r="E187" i="2"/>
  <c r="F187" i="2" s="1"/>
  <c r="G187" i="2" s="1"/>
  <c r="C187" i="2"/>
  <c r="E186" i="2"/>
  <c r="F186" i="2" s="1"/>
  <c r="C186" i="2"/>
  <c r="D185" i="2"/>
  <c r="C185" i="2"/>
  <c r="D184" i="2"/>
  <c r="D180" i="2" s="1"/>
  <c r="D177" i="2" s="1"/>
  <c r="C184" i="2"/>
  <c r="C180" i="2" s="1"/>
  <c r="C177" i="2" s="1"/>
  <c r="C173" i="2" s="1"/>
  <c r="G182" i="2"/>
  <c r="E182" i="2"/>
  <c r="F182" i="2" s="1"/>
  <c r="F181" i="2"/>
  <c r="E181" i="2"/>
  <c r="F178" i="2"/>
  <c r="E178" i="2"/>
  <c r="G175" i="2"/>
  <c r="F175" i="2"/>
  <c r="E175" i="2"/>
  <c r="E174" i="2"/>
  <c r="D173" i="2"/>
  <c r="E171" i="2"/>
  <c r="F171" i="2" s="1"/>
  <c r="G171" i="2" s="1"/>
  <c r="E170" i="2"/>
  <c r="D169" i="2"/>
  <c r="D168" i="2" s="1"/>
  <c r="C169" i="2"/>
  <c r="C168" i="2" s="1"/>
  <c r="E166" i="2"/>
  <c r="F166" i="2" s="1"/>
  <c r="G166" i="2" s="1"/>
  <c r="E165" i="2"/>
  <c r="F165" i="2" s="1"/>
  <c r="G165" i="2" s="1"/>
  <c r="E164" i="2"/>
  <c r="F164" i="2" s="1"/>
  <c r="D163" i="2"/>
  <c r="C163" i="2"/>
  <c r="G161" i="2"/>
  <c r="E161" i="2"/>
  <c r="F161" i="2" s="1"/>
  <c r="F160" i="2"/>
  <c r="G160" i="2" s="1"/>
  <c r="E160" i="2"/>
  <c r="E159" i="2"/>
  <c r="F159" i="2" s="1"/>
  <c r="E158" i="2"/>
  <c r="D158" i="2"/>
  <c r="D148" i="2" s="1"/>
  <c r="C158" i="2"/>
  <c r="E156" i="2"/>
  <c r="F156" i="2" s="1"/>
  <c r="G156" i="2" s="1"/>
  <c r="E155" i="2"/>
  <c r="D154" i="2"/>
  <c r="C154" i="2"/>
  <c r="E152" i="2"/>
  <c r="F152" i="2" s="1"/>
  <c r="G152" i="2" s="1"/>
  <c r="E151" i="2"/>
  <c r="F151" i="2" s="1"/>
  <c r="G151" i="2" s="1"/>
  <c r="F150" i="2"/>
  <c r="G150" i="2" s="1"/>
  <c r="G149" i="2" s="1"/>
  <c r="C150" i="2"/>
  <c r="E150" i="2" s="1"/>
  <c r="D149" i="2"/>
  <c r="C149" i="2"/>
  <c r="C148" i="2"/>
  <c r="E146" i="2"/>
  <c r="F146" i="2" s="1"/>
  <c r="G146" i="2" s="1"/>
  <c r="C145" i="2"/>
  <c r="E145" i="2" s="1"/>
  <c r="F145" i="2" s="1"/>
  <c r="G145" i="2" s="1"/>
  <c r="G144" i="2"/>
  <c r="E144" i="2"/>
  <c r="F144" i="2" s="1"/>
  <c r="F143" i="2"/>
  <c r="G143" i="2" s="1"/>
  <c r="E143" i="2"/>
  <c r="E142" i="2"/>
  <c r="F142" i="2" s="1"/>
  <c r="G142" i="2" s="1"/>
  <c r="E141" i="2"/>
  <c r="D140" i="2"/>
  <c r="E138" i="2"/>
  <c r="E137" i="2" s="1"/>
  <c r="D137" i="2"/>
  <c r="C137" i="2"/>
  <c r="E135" i="2"/>
  <c r="F135" i="2" s="1"/>
  <c r="G135" i="2" s="1"/>
  <c r="E134" i="2"/>
  <c r="D133" i="2"/>
  <c r="C133" i="2"/>
  <c r="E131" i="2"/>
  <c r="F131" i="2" s="1"/>
  <c r="G131" i="2" s="1"/>
  <c r="F130" i="2"/>
  <c r="G130" i="2" s="1"/>
  <c r="E130" i="2"/>
  <c r="E129" i="2"/>
  <c r="E128" i="2" s="1"/>
  <c r="D128" i="2"/>
  <c r="C128" i="2"/>
  <c r="E126" i="2"/>
  <c r="F126" i="2" s="1"/>
  <c r="G126" i="2" s="1"/>
  <c r="F125" i="2"/>
  <c r="G125" i="2" s="1"/>
  <c r="E125" i="2"/>
  <c r="E124" i="2"/>
  <c r="F124" i="2" s="1"/>
  <c r="G124" i="2" s="1"/>
  <c r="G123" i="2"/>
  <c r="F123" i="2"/>
  <c r="E123" i="2"/>
  <c r="F122" i="2"/>
  <c r="G122" i="2" s="1"/>
  <c r="E122" i="2"/>
  <c r="E121" i="2"/>
  <c r="F121" i="2" s="1"/>
  <c r="G121" i="2" s="1"/>
  <c r="G120" i="2"/>
  <c r="E120" i="2"/>
  <c r="F120" i="2" s="1"/>
  <c r="F119" i="2"/>
  <c r="G119" i="2" s="1"/>
  <c r="E119" i="2"/>
  <c r="E118" i="2"/>
  <c r="E117" i="2" s="1"/>
  <c r="D117" i="2"/>
  <c r="C117" i="2"/>
  <c r="D70" i="2"/>
  <c r="D64" i="2"/>
  <c r="D58" i="2"/>
  <c r="D52" i="2"/>
  <c r="D46" i="2"/>
  <c r="D40" i="2"/>
  <c r="D34" i="2"/>
  <c r="D28" i="2"/>
  <c r="D22" i="2"/>
  <c r="D16" i="2"/>
  <c r="D10" i="2"/>
  <c r="G159" i="2" l="1"/>
  <c r="G158" i="2" s="1"/>
  <c r="F158" i="2"/>
  <c r="G224" i="2"/>
  <c r="G241" i="2"/>
  <c r="G209" i="2"/>
  <c r="G208" i="2" s="1"/>
  <c r="F208" i="2"/>
  <c r="D239" i="2"/>
  <c r="F180" i="2"/>
  <c r="F177" i="2" s="1"/>
  <c r="G186" i="2"/>
  <c r="G185" i="2" s="1"/>
  <c r="F185" i="2"/>
  <c r="F184" i="2" s="1"/>
  <c r="G227" i="2"/>
  <c r="F224" i="2"/>
  <c r="G244" i="2"/>
  <c r="F241" i="2"/>
  <c r="G247" i="2"/>
  <c r="G246" i="2" s="1"/>
  <c r="F246" i="2"/>
  <c r="F265" i="2"/>
  <c r="F163" i="2"/>
  <c r="G192" i="2"/>
  <c r="G213" i="2"/>
  <c r="F310" i="2"/>
  <c r="I35" i="3"/>
  <c r="F134" i="2"/>
  <c r="E133" i="2"/>
  <c r="E116" i="2" s="1"/>
  <c r="F155" i="2"/>
  <c r="E154" i="2"/>
  <c r="G220" i="2"/>
  <c r="G250" i="2"/>
  <c r="G249" i="2" s="1"/>
  <c r="F249" i="2"/>
  <c r="E302" i="2"/>
  <c r="F129" i="2"/>
  <c r="F138" i="2"/>
  <c r="F141" i="2"/>
  <c r="E140" i="2"/>
  <c r="F149" i="2"/>
  <c r="F174" i="2"/>
  <c r="G178" i="2"/>
  <c r="G177" i="2" s="1"/>
  <c r="F213" i="2"/>
  <c r="G231" i="2"/>
  <c r="G230" i="2" s="1"/>
  <c r="G235" i="2"/>
  <c r="G234" i="2" s="1"/>
  <c r="E260" i="2"/>
  <c r="G261" i="2"/>
  <c r="G260" i="2" s="1"/>
  <c r="G267" i="2"/>
  <c r="G266" i="2" s="1"/>
  <c r="G265" i="2" s="1"/>
  <c r="F277" i="2"/>
  <c r="F297" i="2"/>
  <c r="E296" i="2"/>
  <c r="F303" i="2"/>
  <c r="E305" i="2"/>
  <c r="F305" i="2" s="1"/>
  <c r="G305" i="2" s="1"/>
  <c r="D302" i="2"/>
  <c r="D291" i="2" s="1"/>
  <c r="H73" i="4"/>
  <c r="D116" i="2"/>
  <c r="D115" i="2" s="1"/>
  <c r="F118" i="2"/>
  <c r="C140" i="2"/>
  <c r="C116" i="2" s="1"/>
  <c r="C115" i="2" s="1"/>
  <c r="G164" i="2"/>
  <c r="G163" i="2" s="1"/>
  <c r="G181" i="2"/>
  <c r="G180" i="2" s="1"/>
  <c r="G258" i="2"/>
  <c r="G257" i="2" s="1"/>
  <c r="G273" i="2"/>
  <c r="G272" i="2" s="1"/>
  <c r="D275" i="2"/>
  <c r="G285" i="2"/>
  <c r="G284" i="2" s="1"/>
  <c r="G311" i="2"/>
  <c r="G310" i="2" s="1"/>
  <c r="E149" i="2"/>
  <c r="F170" i="2"/>
  <c r="E169" i="2"/>
  <c r="E185" i="2"/>
  <c r="E197" i="2"/>
  <c r="F198" i="2"/>
  <c r="E204" i="2"/>
  <c r="F205" i="2"/>
  <c r="C212" i="2"/>
  <c r="E213" i="2"/>
  <c r="C275" i="2"/>
  <c r="C239" i="2" s="1"/>
  <c r="A319" i="2" s="1"/>
  <c r="F289" i="2"/>
  <c r="E288" i="2"/>
  <c r="F317" i="2"/>
  <c r="E316" i="2"/>
  <c r="E315" i="2" s="1"/>
  <c r="I105" i="3"/>
  <c r="I89" i="3"/>
  <c r="I90" i="3" s="1"/>
  <c r="I95" i="3" s="1"/>
  <c r="I63" i="3"/>
  <c r="I34" i="3"/>
  <c r="I131" i="3"/>
  <c r="I36" i="3"/>
  <c r="H73" i="3"/>
  <c r="I59" i="4"/>
  <c r="I37" i="4"/>
  <c r="I132" i="10"/>
  <c r="I63" i="10"/>
  <c r="I105" i="10"/>
  <c r="I89" i="10"/>
  <c r="I90" i="10" s="1"/>
  <c r="I95" i="10" s="1"/>
  <c r="I33" i="10"/>
  <c r="I36" i="10"/>
  <c r="I74" i="10"/>
  <c r="I34" i="10"/>
  <c r="E163" i="2"/>
  <c r="E192" i="2"/>
  <c r="E224" i="2"/>
  <c r="E234" i="2"/>
  <c r="E241" i="2"/>
  <c r="E240" i="2" s="1"/>
  <c r="E266" i="2"/>
  <c r="E265" i="2" s="1"/>
  <c r="E281" i="2"/>
  <c r="E275" i="2" s="1"/>
  <c r="E284" i="2"/>
  <c r="E292" i="2"/>
  <c r="E307" i="2"/>
  <c r="E310" i="2"/>
  <c r="I74" i="3"/>
  <c r="I109" i="3"/>
  <c r="I135" i="3"/>
  <c r="I38" i="4"/>
  <c r="I35" i="7"/>
  <c r="H73" i="7"/>
  <c r="H73" i="10"/>
  <c r="I36" i="11"/>
  <c r="I54" i="12"/>
  <c r="I55" i="12" s="1"/>
  <c r="I61" i="12" s="1"/>
  <c r="H73" i="6"/>
  <c r="H86" i="6"/>
  <c r="I132" i="8"/>
  <c r="I63" i="8"/>
  <c r="I89" i="8"/>
  <c r="I90" i="8" s="1"/>
  <c r="I95" i="8" s="1"/>
  <c r="I34" i="8"/>
  <c r="I35" i="8" s="1"/>
  <c r="I105" i="8"/>
  <c r="I132" i="9"/>
  <c r="I36" i="9"/>
  <c r="I33" i="9"/>
  <c r="I63" i="9"/>
  <c r="H69" i="9"/>
  <c r="I89" i="9"/>
  <c r="I90" i="9" s="1"/>
  <c r="I95" i="9" s="1"/>
  <c r="I132" i="11"/>
  <c r="I63" i="11"/>
  <c r="I105" i="11"/>
  <c r="I74" i="11"/>
  <c r="I34" i="11"/>
  <c r="I33" i="11"/>
  <c r="I35" i="11" s="1"/>
  <c r="H86" i="11"/>
  <c r="I36" i="12"/>
  <c r="I33" i="12"/>
  <c r="I35" i="12" s="1"/>
  <c r="I132" i="12"/>
  <c r="I105" i="12"/>
  <c r="I34" i="12"/>
  <c r="I54" i="3"/>
  <c r="I55" i="3" s="1"/>
  <c r="I61" i="3" s="1"/>
  <c r="H86" i="4"/>
  <c r="H73" i="5"/>
  <c r="H86" i="5"/>
  <c r="I132" i="7"/>
  <c r="I63" i="7"/>
  <c r="I89" i="7"/>
  <c r="I90" i="7" s="1"/>
  <c r="I95" i="7" s="1"/>
  <c r="I105" i="7"/>
  <c r="I36" i="8"/>
  <c r="I54" i="8"/>
  <c r="I55" i="8" s="1"/>
  <c r="I61" i="8" s="1"/>
  <c r="I74" i="8"/>
  <c r="I74" i="9"/>
  <c r="I63" i="12"/>
  <c r="I74" i="12"/>
  <c r="H73" i="14"/>
  <c r="H86" i="3"/>
  <c r="I131" i="4"/>
  <c r="I89" i="4"/>
  <c r="I90" i="4" s="1"/>
  <c r="I95" i="4" s="1"/>
  <c r="I74" i="4"/>
  <c r="I105" i="4"/>
  <c r="I33" i="5"/>
  <c r="I35" i="5" s="1"/>
  <c r="I29" i="6"/>
  <c r="I54" i="6"/>
  <c r="I55" i="6" s="1"/>
  <c r="I61" i="6" s="1"/>
  <c r="I36" i="7"/>
  <c r="I54" i="7"/>
  <c r="I55" i="7" s="1"/>
  <c r="I61" i="7" s="1"/>
  <c r="I74" i="7"/>
  <c r="H73" i="8"/>
  <c r="H86" i="8"/>
  <c r="I34" i="9"/>
  <c r="H71" i="9"/>
  <c r="I34" i="5"/>
  <c r="I74" i="5"/>
  <c r="I105" i="5"/>
  <c r="H71" i="11"/>
  <c r="F69" i="16"/>
  <c r="H71" i="12"/>
  <c r="I105" i="13"/>
  <c r="I74" i="13"/>
  <c r="I34" i="13"/>
  <c r="I89" i="13"/>
  <c r="I90" i="13" s="1"/>
  <c r="I95" i="13" s="1"/>
  <c r="I36" i="13"/>
  <c r="I33" i="13"/>
  <c r="I132" i="13"/>
  <c r="H73" i="13"/>
  <c r="I132" i="15"/>
  <c r="I63" i="15"/>
  <c r="I89" i="15"/>
  <c r="I90" i="15" s="1"/>
  <c r="I95" i="15" s="1"/>
  <c r="I105" i="15"/>
  <c r="I33" i="15"/>
  <c r="I35" i="15" s="1"/>
  <c r="I36" i="15"/>
  <c r="I102" i="14"/>
  <c r="I102" i="15"/>
  <c r="I29" i="14"/>
  <c r="I54" i="14"/>
  <c r="I55" i="14" s="1"/>
  <c r="I61" i="14" s="1"/>
  <c r="I101" i="14"/>
  <c r="I74" i="15"/>
  <c r="H86" i="12"/>
  <c r="I34" i="15"/>
  <c r="I54" i="15"/>
  <c r="I55" i="15" s="1"/>
  <c r="I61" i="15" s="1"/>
  <c r="H86" i="15"/>
  <c r="I49" i="17"/>
  <c r="I103" i="4" s="1"/>
  <c r="I104" i="4" s="1"/>
  <c r="I101" i="13"/>
  <c r="I101" i="12"/>
  <c r="H86" i="14"/>
  <c r="H73" i="15"/>
  <c r="F8" i="17"/>
  <c r="F10" i="17" s="1"/>
  <c r="F36" i="17"/>
  <c r="H34" i="17"/>
  <c r="I34" i="17" s="1"/>
  <c r="I36" i="17" s="1"/>
  <c r="I38" i="17" s="1"/>
  <c r="I135" i="4" l="1"/>
  <c r="I109" i="4"/>
  <c r="I37" i="5"/>
  <c r="I38" i="5" s="1"/>
  <c r="I59" i="5"/>
  <c r="G118" i="2"/>
  <c r="G117" i="2" s="1"/>
  <c r="F117" i="2"/>
  <c r="G303" i="2"/>
  <c r="G302" i="2" s="1"/>
  <c r="F302" i="2"/>
  <c r="G277" i="2"/>
  <c r="G276" i="2" s="1"/>
  <c r="F276" i="2"/>
  <c r="F275" i="2" s="1"/>
  <c r="F173" i="2"/>
  <c r="G174" i="2"/>
  <c r="G173" i="2" s="1"/>
  <c r="G138" i="2"/>
  <c r="G137" i="2" s="1"/>
  <c r="F137" i="2"/>
  <c r="I37" i="3"/>
  <c r="I59" i="3"/>
  <c r="G184" i="2"/>
  <c r="G240" i="2"/>
  <c r="I35" i="13"/>
  <c r="H73" i="12"/>
  <c r="I38" i="7"/>
  <c r="I59" i="7"/>
  <c r="I37" i="7"/>
  <c r="I38" i="3"/>
  <c r="G317" i="2"/>
  <c r="G316" i="2" s="1"/>
  <c r="G315" i="2" s="1"/>
  <c r="F316" i="2"/>
  <c r="F315" i="2" s="1"/>
  <c r="G198" i="2"/>
  <c r="G197" i="2" s="1"/>
  <c r="G196" i="2" s="1"/>
  <c r="F197" i="2"/>
  <c r="G170" i="2"/>
  <c r="G169" i="2" s="1"/>
  <c r="G168" i="2" s="1"/>
  <c r="F169" i="2"/>
  <c r="F168" i="2" s="1"/>
  <c r="F148" i="2"/>
  <c r="F128" i="2"/>
  <c r="G129" i="2"/>
  <c r="G128" i="2" s="1"/>
  <c r="I59" i="8"/>
  <c r="I37" i="8"/>
  <c r="I38" i="8" s="1"/>
  <c r="G155" i="2"/>
  <c r="G154" i="2" s="1"/>
  <c r="G148" i="2" s="1"/>
  <c r="F154" i="2"/>
  <c r="I48" i="17"/>
  <c r="H73" i="11"/>
  <c r="I100" i="9"/>
  <c r="I104" i="9" s="1"/>
  <c r="I100" i="10"/>
  <c r="I104" i="10" s="1"/>
  <c r="I100" i="5"/>
  <c r="I104" i="5" s="1"/>
  <c r="I100" i="7"/>
  <c r="I104" i="7" s="1"/>
  <c r="I100" i="6"/>
  <c r="I104" i="6" s="1"/>
  <c r="I100" i="8"/>
  <c r="I104" i="8" s="1"/>
  <c r="I59" i="12"/>
  <c r="I37" i="12"/>
  <c r="I59" i="11"/>
  <c r="I37" i="11"/>
  <c r="I38" i="11" s="1"/>
  <c r="I35" i="9"/>
  <c r="E291" i="2"/>
  <c r="E239" i="2"/>
  <c r="I35" i="10"/>
  <c r="E148" i="2"/>
  <c r="G297" i="2"/>
  <c r="G296" i="2" s="1"/>
  <c r="G291" i="2" s="1"/>
  <c r="F296" i="2"/>
  <c r="F291" i="2" s="1"/>
  <c r="F212" i="2"/>
  <c r="F240" i="2"/>
  <c r="I59" i="15"/>
  <c r="I37" i="15"/>
  <c r="I38" i="15" s="1"/>
  <c r="I89" i="14"/>
  <c r="I90" i="14" s="1"/>
  <c r="I95" i="14" s="1"/>
  <c r="I132" i="14"/>
  <c r="I63" i="14"/>
  <c r="I34" i="14"/>
  <c r="I74" i="14"/>
  <c r="I36" i="14"/>
  <c r="I105" i="14"/>
  <c r="I33" i="14"/>
  <c r="I35" i="14" s="1"/>
  <c r="I89" i="6"/>
  <c r="I90" i="6" s="1"/>
  <c r="I95" i="6" s="1"/>
  <c r="I105" i="6"/>
  <c r="I74" i="6"/>
  <c r="I34" i="6"/>
  <c r="I33" i="6"/>
  <c r="I63" i="6"/>
  <c r="I132" i="6"/>
  <c r="I36" i="6"/>
  <c r="I38" i="12"/>
  <c r="H73" i="9"/>
  <c r="I47" i="4"/>
  <c r="I43" i="4"/>
  <c r="I46" i="4"/>
  <c r="I41" i="4"/>
  <c r="I45" i="4"/>
  <c r="I40" i="4"/>
  <c r="I48" i="4" s="1"/>
  <c r="I60" i="4" s="1"/>
  <c r="I62" i="4" s="1"/>
  <c r="I44" i="4"/>
  <c r="I42" i="4"/>
  <c r="G289" i="2"/>
  <c r="G288" i="2" s="1"/>
  <c r="F288" i="2"/>
  <c r="G205" i="2"/>
  <c r="G204" i="2" s="1"/>
  <c r="F204" i="2"/>
  <c r="E184" i="2"/>
  <c r="E180" i="2" s="1"/>
  <c r="E177" i="2" s="1"/>
  <c r="E173" i="2" s="1"/>
  <c r="E168" i="2" s="1"/>
  <c r="G141" i="2"/>
  <c r="G140" i="2" s="1"/>
  <c r="F140" i="2"/>
  <c r="F133" i="2"/>
  <c r="G134" i="2"/>
  <c r="G133" i="2" s="1"/>
  <c r="G212" i="2"/>
  <c r="F98" i="2"/>
  <c r="F97" i="2"/>
  <c r="F86" i="2"/>
  <c r="F85" i="2"/>
  <c r="I35" i="6" l="1"/>
  <c r="I75" i="4"/>
  <c r="I64" i="4"/>
  <c r="I65" i="4" s="1"/>
  <c r="I132" i="4"/>
  <c r="I106" i="4"/>
  <c r="I44" i="15"/>
  <c r="I40" i="15"/>
  <c r="I47" i="15"/>
  <c r="I43" i="15"/>
  <c r="I46" i="15"/>
  <c r="I42" i="15"/>
  <c r="I41" i="15"/>
  <c r="I45" i="15"/>
  <c r="I44" i="8"/>
  <c r="I40" i="8"/>
  <c r="I47" i="8"/>
  <c r="I43" i="8"/>
  <c r="I46" i="8"/>
  <c r="I45" i="8"/>
  <c r="I42" i="8"/>
  <c r="I41" i="8"/>
  <c r="E115" i="2"/>
  <c r="I44" i="11"/>
  <c r="I40" i="11"/>
  <c r="I45" i="11"/>
  <c r="I47" i="11"/>
  <c r="I41" i="11"/>
  <c r="I46" i="11"/>
  <c r="I43" i="11"/>
  <c r="I42" i="11"/>
  <c r="I37" i="14"/>
  <c r="I59" i="14"/>
  <c r="I136" i="8"/>
  <c r="I109" i="8"/>
  <c r="F80" i="2"/>
  <c r="F79" i="2"/>
  <c r="F100" i="2"/>
  <c r="F101" i="2"/>
  <c r="I136" i="9"/>
  <c r="I109" i="9"/>
  <c r="F107" i="2"/>
  <c r="F106" i="2"/>
  <c r="G116" i="2"/>
  <c r="G115" i="2" s="1"/>
  <c r="F239" i="2"/>
  <c r="F94" i="2"/>
  <c r="F95" i="2"/>
  <c r="I59" i="10"/>
  <c r="I37" i="10"/>
  <c r="I38" i="10" s="1"/>
  <c r="I59" i="9"/>
  <c r="I37" i="9"/>
  <c r="I38" i="9" s="1"/>
  <c r="I109" i="5"/>
  <c r="I136" i="5"/>
  <c r="F196" i="2"/>
  <c r="I47" i="3"/>
  <c r="I43" i="3"/>
  <c r="I46" i="3"/>
  <c r="I42" i="3"/>
  <c r="I40" i="3"/>
  <c r="I45" i="3"/>
  <c r="I44" i="3"/>
  <c r="I41" i="3"/>
  <c r="I37" i="6"/>
  <c r="I38" i="6" s="1"/>
  <c r="I59" i="6"/>
  <c r="F92" i="2"/>
  <c r="F91" i="2"/>
  <c r="I136" i="10"/>
  <c r="I109" i="10"/>
  <c r="F116" i="2"/>
  <c r="F104" i="2"/>
  <c r="F103" i="2"/>
  <c r="I109" i="6"/>
  <c r="I136" i="6"/>
  <c r="I103" i="15"/>
  <c r="I104" i="15" s="1"/>
  <c r="I103" i="14"/>
  <c r="I104" i="14" s="1"/>
  <c r="I103" i="11"/>
  <c r="I104" i="11" s="1"/>
  <c r="I103" i="13"/>
  <c r="I104" i="13" s="1"/>
  <c r="I103" i="12"/>
  <c r="I104" i="12" s="1"/>
  <c r="I44" i="7"/>
  <c r="I40" i="7"/>
  <c r="I47" i="7"/>
  <c r="I43" i="7"/>
  <c r="I45" i="7"/>
  <c r="I42" i="7"/>
  <c r="I41" i="7"/>
  <c r="I46" i="7"/>
  <c r="G275" i="2"/>
  <c r="G239" i="2" s="1"/>
  <c r="G319" i="2" s="1"/>
  <c r="G320" i="2" s="1"/>
  <c r="G321" i="2" s="1"/>
  <c r="I47" i="5"/>
  <c r="I43" i="5"/>
  <c r="I46" i="5"/>
  <c r="I42" i="5"/>
  <c r="I41" i="5"/>
  <c r="I40" i="5"/>
  <c r="I48" i="5" s="1"/>
  <c r="I60" i="5" s="1"/>
  <c r="I62" i="5" s="1"/>
  <c r="I45" i="5"/>
  <c r="I44" i="5"/>
  <c r="I45" i="12"/>
  <c r="I41" i="12"/>
  <c r="I47" i="12"/>
  <c r="I42" i="12"/>
  <c r="I40" i="12"/>
  <c r="I46" i="12"/>
  <c r="I44" i="12"/>
  <c r="I43" i="12"/>
  <c r="I38" i="14"/>
  <c r="I136" i="7"/>
  <c r="I109" i="7"/>
  <c r="I37" i="13"/>
  <c r="I38" i="13" s="1"/>
  <c r="I59" i="13"/>
  <c r="I106" i="5" l="1"/>
  <c r="I75" i="5"/>
  <c r="I133" i="5"/>
  <c r="I64" i="5"/>
  <c r="I65" i="5" s="1"/>
  <c r="I47" i="6"/>
  <c r="I43" i="6"/>
  <c r="I46" i="6"/>
  <c r="I42" i="6"/>
  <c r="I44" i="6"/>
  <c r="I41" i="6"/>
  <c r="I40" i="6"/>
  <c r="I45" i="6"/>
  <c r="I47" i="14"/>
  <c r="I43" i="14"/>
  <c r="I45" i="14"/>
  <c r="I40" i="14"/>
  <c r="I46" i="14"/>
  <c r="I44" i="14"/>
  <c r="I42" i="14"/>
  <c r="I41" i="14"/>
  <c r="I109" i="13"/>
  <c r="I136" i="13"/>
  <c r="I136" i="11"/>
  <c r="I109" i="11"/>
  <c r="I46" i="13"/>
  <c r="I42" i="13"/>
  <c r="I43" i="13"/>
  <c r="I47" i="13"/>
  <c r="I40" i="13"/>
  <c r="I45" i="13"/>
  <c r="I41" i="13"/>
  <c r="I44" i="13"/>
  <c r="I44" i="10"/>
  <c r="I40" i="10"/>
  <c r="I43" i="10"/>
  <c r="I47" i="10"/>
  <c r="I42" i="10"/>
  <c r="I46" i="10"/>
  <c r="I45" i="10"/>
  <c r="I41" i="10"/>
  <c r="I48" i="12"/>
  <c r="I60" i="12" s="1"/>
  <c r="I62" i="12" s="1"/>
  <c r="I48" i="7"/>
  <c r="I60" i="7" s="1"/>
  <c r="I62" i="7" s="1"/>
  <c r="I109" i="14"/>
  <c r="I136" i="14"/>
  <c r="F77" i="2"/>
  <c r="F115" i="2"/>
  <c r="F76" i="2"/>
  <c r="I48" i="3"/>
  <c r="I60" i="3" s="1"/>
  <c r="I62" i="3" s="1"/>
  <c r="I45" i="9"/>
  <c r="I41" i="9"/>
  <c r="I44" i="9"/>
  <c r="I40" i="9"/>
  <c r="I42" i="9"/>
  <c r="I47" i="9"/>
  <c r="I46" i="9"/>
  <c r="I43" i="9"/>
  <c r="I48" i="11"/>
  <c r="I60" i="11" s="1"/>
  <c r="I62" i="11" s="1"/>
  <c r="I136" i="12"/>
  <c r="I109" i="12"/>
  <c r="I136" i="15"/>
  <c r="I109" i="15"/>
  <c r="F89" i="2"/>
  <c r="F88" i="2"/>
  <c r="I48" i="8"/>
  <c r="I60" i="8" s="1"/>
  <c r="I62" i="8" s="1"/>
  <c r="I48" i="15"/>
  <c r="I60" i="15" s="1"/>
  <c r="I62" i="15" s="1"/>
  <c r="I72" i="4"/>
  <c r="I70" i="4"/>
  <c r="I68" i="4"/>
  <c r="I69" i="4"/>
  <c r="I71" i="4"/>
  <c r="I106" i="15" l="1"/>
  <c r="I75" i="15"/>
  <c r="I133" i="15"/>
  <c r="I64" i="15"/>
  <c r="I65" i="15" s="1"/>
  <c r="I48" i="9"/>
  <c r="I60" i="9" s="1"/>
  <c r="I62" i="9" s="1"/>
  <c r="I132" i="3"/>
  <c r="I75" i="3"/>
  <c r="I106" i="3"/>
  <c r="I64" i="3"/>
  <c r="I65" i="3" s="1"/>
  <c r="I106" i="7"/>
  <c r="I75" i="7"/>
  <c r="I133" i="7"/>
  <c r="I64" i="7"/>
  <c r="I65" i="7" s="1"/>
  <c r="I48" i="10"/>
  <c r="I60" i="10" s="1"/>
  <c r="I62" i="10" s="1"/>
  <c r="I48" i="6"/>
  <c r="I60" i="6" s="1"/>
  <c r="I62" i="6" s="1"/>
  <c r="I73" i="4"/>
  <c r="I133" i="12"/>
  <c r="I106" i="12"/>
  <c r="I64" i="12"/>
  <c r="I65" i="12" s="1"/>
  <c r="I75" i="12"/>
  <c r="I48" i="13"/>
  <c r="I60" i="13" s="1"/>
  <c r="I62" i="13" s="1"/>
  <c r="I48" i="14"/>
  <c r="I60" i="14" s="1"/>
  <c r="I62" i="14" s="1"/>
  <c r="I72" i="5"/>
  <c r="I68" i="5"/>
  <c r="I70" i="5"/>
  <c r="I69" i="5"/>
  <c r="I71" i="5"/>
  <c r="I106" i="8"/>
  <c r="I75" i="8"/>
  <c r="I133" i="8"/>
  <c r="I64" i="8"/>
  <c r="I65" i="8" s="1"/>
  <c r="I133" i="11"/>
  <c r="I106" i="11"/>
  <c r="I75" i="11"/>
  <c r="I64" i="11"/>
  <c r="I65" i="11" s="1"/>
  <c r="I72" i="11" l="1"/>
  <c r="I69" i="11"/>
  <c r="I70" i="11"/>
  <c r="I68" i="11"/>
  <c r="I73" i="11" s="1"/>
  <c r="I71" i="11"/>
  <c r="I72" i="8"/>
  <c r="I69" i="8"/>
  <c r="I71" i="8"/>
  <c r="I70" i="8"/>
  <c r="I68" i="8"/>
  <c r="I133" i="4"/>
  <c r="I107" i="4"/>
  <c r="I76" i="4"/>
  <c r="I77" i="4" s="1"/>
  <c r="I72" i="3"/>
  <c r="I70" i="3"/>
  <c r="I68" i="3"/>
  <c r="I73" i="3" s="1"/>
  <c r="I71" i="3"/>
  <c r="I69" i="3"/>
  <c r="I72" i="12"/>
  <c r="I68" i="12"/>
  <c r="I73" i="12" s="1"/>
  <c r="I70" i="12"/>
  <c r="I69" i="12"/>
  <c r="I71" i="12"/>
  <c r="I72" i="15"/>
  <c r="I71" i="15"/>
  <c r="I70" i="15"/>
  <c r="I69" i="15"/>
  <c r="I68" i="15"/>
  <c r="I106" i="6"/>
  <c r="I75" i="6"/>
  <c r="I133" i="6"/>
  <c r="I64" i="6"/>
  <c r="I65" i="6" s="1"/>
  <c r="I72" i="7"/>
  <c r="I71" i="7"/>
  <c r="I70" i="7"/>
  <c r="I69" i="7"/>
  <c r="I68" i="7"/>
  <c r="I106" i="14"/>
  <c r="I75" i="14"/>
  <c r="I133" i="14"/>
  <c r="I64" i="14"/>
  <c r="I65" i="14" s="1"/>
  <c r="I73" i="5"/>
  <c r="I133" i="13"/>
  <c r="I106" i="13"/>
  <c r="I75" i="13"/>
  <c r="I64" i="13"/>
  <c r="I65" i="13" s="1"/>
  <c r="I106" i="10"/>
  <c r="I64" i="10"/>
  <c r="I65" i="10" s="1"/>
  <c r="I133" i="10"/>
  <c r="I75" i="10"/>
  <c r="I133" i="9"/>
  <c r="I64" i="9"/>
  <c r="I65" i="9" s="1"/>
  <c r="I75" i="9"/>
  <c r="I106" i="9"/>
  <c r="I73" i="15" l="1"/>
  <c r="I73" i="7"/>
  <c r="I107" i="7" s="1"/>
  <c r="I72" i="9"/>
  <c r="I70" i="9"/>
  <c r="I68" i="9"/>
  <c r="I71" i="9"/>
  <c r="I69" i="9"/>
  <c r="I134" i="7"/>
  <c r="I72" i="6"/>
  <c r="I70" i="6"/>
  <c r="I68" i="6"/>
  <c r="I71" i="6"/>
  <c r="I69" i="6"/>
  <c r="I76" i="12"/>
  <c r="I77" i="12" s="1"/>
  <c r="I134" i="12"/>
  <c r="I107" i="12"/>
  <c r="I134" i="11"/>
  <c r="I107" i="11"/>
  <c r="I76" i="11"/>
  <c r="I77" i="11" s="1"/>
  <c r="I72" i="13"/>
  <c r="I68" i="13"/>
  <c r="I69" i="13"/>
  <c r="I71" i="13"/>
  <c r="I70" i="13"/>
  <c r="I72" i="14"/>
  <c r="I70" i="14"/>
  <c r="I68" i="14"/>
  <c r="I71" i="14"/>
  <c r="I69" i="14"/>
  <c r="I133" i="3"/>
  <c r="I107" i="3"/>
  <c r="I76" i="3"/>
  <c r="I77" i="3" s="1"/>
  <c r="I107" i="5"/>
  <c r="I134" i="5"/>
  <c r="I76" i="5"/>
  <c r="I77" i="5" s="1"/>
  <c r="I72" i="10"/>
  <c r="I71" i="10"/>
  <c r="I70" i="10"/>
  <c r="I68" i="10"/>
  <c r="I69" i="10"/>
  <c r="I73" i="8"/>
  <c r="I134" i="15"/>
  <c r="I107" i="15"/>
  <c r="I76" i="15"/>
  <c r="I77" i="15" s="1"/>
  <c r="I85" i="4"/>
  <c r="I81" i="4"/>
  <c r="I83" i="4"/>
  <c r="I84" i="4"/>
  <c r="I80" i="4"/>
  <c r="I82" i="4"/>
  <c r="I76" i="7" l="1"/>
  <c r="I77" i="7" s="1"/>
  <c r="I73" i="6"/>
  <c r="I86" i="4"/>
  <c r="I94" i="4" s="1"/>
  <c r="I96" i="4" s="1"/>
  <c r="I108" i="4" s="1"/>
  <c r="I110" i="4" s="1"/>
  <c r="I73" i="10"/>
  <c r="I134" i="4"/>
  <c r="I136" i="4" s="1"/>
  <c r="I134" i="8"/>
  <c r="I107" i="8"/>
  <c r="I76" i="8"/>
  <c r="I77" i="8" s="1"/>
  <c r="I85" i="15"/>
  <c r="I83" i="15"/>
  <c r="I81" i="15"/>
  <c r="I84" i="15"/>
  <c r="I80" i="15"/>
  <c r="I82" i="15"/>
  <c r="I84" i="5"/>
  <c r="I82" i="5"/>
  <c r="I80" i="5"/>
  <c r="I85" i="5"/>
  <c r="I81" i="5"/>
  <c r="I83" i="5"/>
  <c r="I134" i="6"/>
  <c r="I76" i="6"/>
  <c r="I77" i="6" s="1"/>
  <c r="I107" i="6"/>
  <c r="I85" i="3"/>
  <c r="I83" i="3"/>
  <c r="I81" i="3"/>
  <c r="I82" i="3"/>
  <c r="I80" i="3"/>
  <c r="I84" i="3"/>
  <c r="I73" i="13"/>
  <c r="I82" i="12"/>
  <c r="I85" i="12"/>
  <c r="I80" i="12"/>
  <c r="I83" i="12"/>
  <c r="I84" i="12"/>
  <c r="I81" i="12"/>
  <c r="I85" i="7"/>
  <c r="I81" i="7"/>
  <c r="I83" i="7"/>
  <c r="I82" i="7"/>
  <c r="I80" i="7"/>
  <c r="I84" i="7"/>
  <c r="I73" i="9"/>
  <c r="I73" i="14"/>
  <c r="I85" i="11"/>
  <c r="I81" i="11"/>
  <c r="I83" i="11"/>
  <c r="I84" i="11"/>
  <c r="I82" i="11"/>
  <c r="I80" i="11"/>
  <c r="I86" i="12" l="1"/>
  <c r="I94" i="12" s="1"/>
  <c r="I96" i="12" s="1"/>
  <c r="I108" i="12" s="1"/>
  <c r="I110" i="12" s="1"/>
  <c r="I86" i="7"/>
  <c r="I94" i="7" s="1"/>
  <c r="I96" i="7" s="1"/>
  <c r="I108" i="7"/>
  <c r="I110" i="7" s="1"/>
  <c r="I135" i="7"/>
  <c r="I137" i="7" s="1"/>
  <c r="I76" i="13"/>
  <c r="I77" i="13" s="1"/>
  <c r="I107" i="13"/>
  <c r="I134" i="13"/>
  <c r="I86" i="5"/>
  <c r="I94" i="5" s="1"/>
  <c r="I96" i="5" s="1"/>
  <c r="I85" i="8"/>
  <c r="I81" i="8"/>
  <c r="I83" i="8"/>
  <c r="I82" i="8"/>
  <c r="I84" i="8"/>
  <c r="I80" i="8"/>
  <c r="I76" i="14"/>
  <c r="I77" i="14" s="1"/>
  <c r="I134" i="14"/>
  <c r="I107" i="14"/>
  <c r="I86" i="11"/>
  <c r="I94" i="11" s="1"/>
  <c r="I96" i="11" s="1"/>
  <c r="I134" i="9"/>
  <c r="I107" i="9"/>
  <c r="I76" i="9"/>
  <c r="I77" i="9" s="1"/>
  <c r="I86" i="3"/>
  <c r="I94" i="3" s="1"/>
  <c r="I96" i="3" s="1"/>
  <c r="I84" i="6"/>
  <c r="I82" i="6"/>
  <c r="I80" i="6"/>
  <c r="I85" i="6"/>
  <c r="I81" i="6"/>
  <c r="I83" i="6"/>
  <c r="I134" i="10"/>
  <c r="I76" i="10"/>
  <c r="I77" i="10" s="1"/>
  <c r="I107" i="10"/>
  <c r="I113" i="4"/>
  <c r="I86" i="15"/>
  <c r="I94" i="15" s="1"/>
  <c r="I96" i="15" s="1"/>
  <c r="I135" i="12" l="1"/>
  <c r="I137" i="12" s="1"/>
  <c r="I85" i="13"/>
  <c r="I84" i="13"/>
  <c r="I82" i="13"/>
  <c r="I80" i="13"/>
  <c r="I81" i="13"/>
  <c r="I83" i="13"/>
  <c r="I81" i="14"/>
  <c r="I83" i="14"/>
  <c r="I85" i="14"/>
  <c r="I84" i="14"/>
  <c r="I80" i="14"/>
  <c r="I82" i="14"/>
  <c r="I135" i="5"/>
  <c r="I137" i="5" s="1"/>
  <c r="I108" i="5"/>
  <c r="I110" i="5" s="1"/>
  <c r="I134" i="3"/>
  <c r="I136" i="3" s="1"/>
  <c r="I108" i="3"/>
  <c r="I110" i="3" s="1"/>
  <c r="I108" i="11"/>
  <c r="I110" i="11" s="1"/>
  <c r="I135" i="11"/>
  <c r="I137" i="11" s="1"/>
  <c r="I108" i="15"/>
  <c r="I110" i="15" s="1"/>
  <c r="I135" i="15"/>
  <c r="I137" i="15" s="1"/>
  <c r="I85" i="10"/>
  <c r="I83" i="10"/>
  <c r="I81" i="10"/>
  <c r="I82" i="10"/>
  <c r="I84" i="10"/>
  <c r="I80" i="10"/>
  <c r="I114" i="4"/>
  <c r="I124" i="4" s="1"/>
  <c r="I126" i="4" s="1"/>
  <c r="I113" i="12"/>
  <c r="I86" i="6"/>
  <c r="I94" i="6" s="1"/>
  <c r="I96" i="6" s="1"/>
  <c r="I83" i="9"/>
  <c r="I81" i="9"/>
  <c r="I85" i="9"/>
  <c r="I80" i="9"/>
  <c r="I82" i="9"/>
  <c r="I84" i="9"/>
  <c r="I86" i="8"/>
  <c r="I94" i="8" s="1"/>
  <c r="I96" i="8" s="1"/>
  <c r="I113" i="7"/>
  <c r="I86" i="13" l="1"/>
  <c r="I94" i="13" s="1"/>
  <c r="I96" i="13" s="1"/>
  <c r="I108" i="13" s="1"/>
  <c r="I110" i="13" s="1"/>
  <c r="I86" i="14"/>
  <c r="I94" i="14" s="1"/>
  <c r="I96" i="14" s="1"/>
  <c r="I108" i="14" s="1"/>
  <c r="I110" i="14" s="1"/>
  <c r="I86" i="10"/>
  <c r="I94" i="10" s="1"/>
  <c r="I96" i="10" s="1"/>
  <c r="I108" i="10" s="1"/>
  <c r="I110" i="10" s="1"/>
  <c r="I118" i="4"/>
  <c r="I128" i="4"/>
  <c r="I117" i="4"/>
  <c r="I116" i="4"/>
  <c r="I135" i="14"/>
  <c r="I137" i="14" s="1"/>
  <c r="I113" i="3"/>
  <c r="I114" i="3"/>
  <c r="I114" i="12"/>
  <c r="I124" i="12" s="1"/>
  <c r="I126" i="12" s="1"/>
  <c r="I135" i="10"/>
  <c r="I137" i="10" s="1"/>
  <c r="I113" i="15"/>
  <c r="I114" i="15"/>
  <c r="I124" i="15" s="1"/>
  <c r="I126" i="15" s="1"/>
  <c r="I113" i="11"/>
  <c r="I114" i="11" s="1"/>
  <c r="I124" i="11" s="1"/>
  <c r="I126" i="11" s="1"/>
  <c r="I135" i="13"/>
  <c r="I137" i="13" s="1"/>
  <c r="I113" i="5"/>
  <c r="I114" i="7"/>
  <c r="I108" i="8"/>
  <c r="I110" i="8" s="1"/>
  <c r="I135" i="8"/>
  <c r="I137" i="8" s="1"/>
  <c r="I86" i="9"/>
  <c r="I94" i="9" s="1"/>
  <c r="I96" i="9" s="1"/>
  <c r="I135" i="6"/>
  <c r="I137" i="6" s="1"/>
  <c r="I108" i="6"/>
  <c r="I110" i="6" s="1"/>
  <c r="I119" i="4" l="1"/>
  <c r="I137" i="4" s="1"/>
  <c r="I138" i="4" s="1"/>
  <c r="G140" i="4" s="1"/>
  <c r="I140" i="4" s="1"/>
  <c r="E4" i="1" s="1"/>
  <c r="F4" i="1" s="1"/>
  <c r="I124" i="3"/>
  <c r="I126" i="3" s="1"/>
  <c r="I116" i="3" s="1"/>
  <c r="I118" i="11"/>
  <c r="I128" i="11"/>
  <c r="I117" i="11"/>
  <c r="I116" i="11"/>
  <c r="I118" i="15"/>
  <c r="I117" i="15"/>
  <c r="I116" i="15"/>
  <c r="I128" i="15"/>
  <c r="I114" i="5"/>
  <c r="I124" i="5" s="1"/>
  <c r="I126" i="5" s="1"/>
  <c r="I128" i="3"/>
  <c r="I117" i="3"/>
  <c r="I113" i="14"/>
  <c r="I114" i="14"/>
  <c r="I108" i="9"/>
  <c r="I110" i="9" s="1"/>
  <c r="I135" i="9"/>
  <c r="I137" i="9" s="1"/>
  <c r="I113" i="13"/>
  <c r="I128" i="12"/>
  <c r="I116" i="12"/>
  <c r="I118" i="12"/>
  <c r="I117" i="12"/>
  <c r="I113" i="6"/>
  <c r="I114" i="6" s="1"/>
  <c r="I124" i="6" s="1"/>
  <c r="I126" i="6" s="1"/>
  <c r="I113" i="8"/>
  <c r="I114" i="8" s="1"/>
  <c r="I113" i="10"/>
  <c r="I124" i="7"/>
  <c r="I126" i="7" s="1"/>
  <c r="I118" i="3" l="1"/>
  <c r="I119" i="15"/>
  <c r="I138" i="15" s="1"/>
  <c r="I139" i="15" s="1"/>
  <c r="E70" i="2" s="1"/>
  <c r="F70" i="2" s="1"/>
  <c r="E107" i="2" s="1"/>
  <c r="G107" i="2" s="1"/>
  <c r="I124" i="14"/>
  <c r="I126" i="14" s="1"/>
  <c r="I118" i="14" s="1"/>
  <c r="I119" i="11"/>
  <c r="I138" i="11" s="1"/>
  <c r="I139" i="11" s="1"/>
  <c r="E46" i="2" s="1"/>
  <c r="F46" i="2" s="1"/>
  <c r="E95" i="2" s="1"/>
  <c r="G95" i="2" s="1"/>
  <c r="I119" i="3"/>
  <c r="I137" i="3" s="1"/>
  <c r="I138" i="3" s="1"/>
  <c r="E50" i="2" s="1"/>
  <c r="F50" i="2" s="1"/>
  <c r="E97" i="2" s="1"/>
  <c r="G97" i="2" s="1"/>
  <c r="I117" i="6"/>
  <c r="I128" i="6"/>
  <c r="I116" i="6"/>
  <c r="I118" i="6"/>
  <c r="E56" i="2"/>
  <c r="F56" i="2" s="1"/>
  <c r="E100" i="2" s="1"/>
  <c r="G100" i="2" s="1"/>
  <c r="E8" i="2"/>
  <c r="F8" i="2" s="1"/>
  <c r="E76" i="2" s="1"/>
  <c r="G76" i="2" s="1"/>
  <c r="I117" i="5"/>
  <c r="I128" i="5"/>
  <c r="I116" i="5"/>
  <c r="I118" i="5"/>
  <c r="I114" i="13"/>
  <c r="I113" i="9"/>
  <c r="I114" i="9" s="1"/>
  <c r="I124" i="8"/>
  <c r="I126" i="8" s="1"/>
  <c r="I119" i="12"/>
  <c r="I138" i="12" s="1"/>
  <c r="I139" i="12" s="1"/>
  <c r="E52" i="2" s="1"/>
  <c r="F52" i="2" s="1"/>
  <c r="E98" i="2" s="1"/>
  <c r="G98" i="2" s="1"/>
  <c r="I124" i="13"/>
  <c r="I126" i="13" s="1"/>
  <c r="I118" i="7"/>
  <c r="I117" i="7"/>
  <c r="I128" i="7"/>
  <c r="I116" i="7"/>
  <c r="I114" i="10"/>
  <c r="I124" i="10" s="1"/>
  <c r="I126" i="10" s="1"/>
  <c r="I116" i="14" l="1"/>
  <c r="I128" i="14"/>
  <c r="I117" i="14"/>
  <c r="E20" i="2"/>
  <c r="F20" i="2" s="1"/>
  <c r="E82" i="2" s="1"/>
  <c r="G82" i="2" s="1"/>
  <c r="E14" i="2"/>
  <c r="F14" i="2" s="1"/>
  <c r="E79" i="2" s="1"/>
  <c r="G79" i="2" s="1"/>
  <c r="E62" i="2"/>
  <c r="F62" i="2" s="1"/>
  <c r="E103" i="2" s="1"/>
  <c r="G103" i="2" s="1"/>
  <c r="E44" i="2"/>
  <c r="F44" i="2" s="1"/>
  <c r="E94" i="2" s="1"/>
  <c r="G94" i="2" s="1"/>
  <c r="E32" i="2"/>
  <c r="F32" i="2" s="1"/>
  <c r="E88" i="2" s="1"/>
  <c r="G88" i="2" s="1"/>
  <c r="E26" i="2"/>
  <c r="F26" i="2" s="1"/>
  <c r="E85" i="2" s="1"/>
  <c r="G85" i="2" s="1"/>
  <c r="E68" i="2"/>
  <c r="F68" i="2" s="1"/>
  <c r="E106" i="2" s="1"/>
  <c r="G106" i="2" s="1"/>
  <c r="E38" i="2"/>
  <c r="F38" i="2" s="1"/>
  <c r="E91" i="2" s="1"/>
  <c r="G91" i="2" s="1"/>
  <c r="I124" i="9"/>
  <c r="I126" i="9" s="1"/>
  <c r="I116" i="9" s="1"/>
  <c r="I119" i="7"/>
  <c r="I138" i="7" s="1"/>
  <c r="I139" i="7" s="1"/>
  <c r="E22" i="2" s="1"/>
  <c r="F22" i="2" s="1"/>
  <c r="E83" i="2" s="1"/>
  <c r="G83" i="2" s="1"/>
  <c r="I119" i="6"/>
  <c r="I138" i="6" s="1"/>
  <c r="I139" i="6" s="1"/>
  <c r="E16" i="2" s="1"/>
  <c r="F16" i="2" s="1"/>
  <c r="E80" i="2" s="1"/>
  <c r="G80" i="2" s="1"/>
  <c r="I128" i="13"/>
  <c r="I116" i="13"/>
  <c r="I118" i="13"/>
  <c r="I117" i="13"/>
  <c r="I117" i="10"/>
  <c r="I118" i="10"/>
  <c r="I128" i="10"/>
  <c r="I116" i="10"/>
  <c r="I118" i="8"/>
  <c r="I117" i="8"/>
  <c r="I128" i="8"/>
  <c r="I116" i="8"/>
  <c r="I119" i="5"/>
  <c r="I138" i="5" s="1"/>
  <c r="I139" i="5" s="1"/>
  <c r="E10" i="2" s="1"/>
  <c r="F10" i="2" s="1"/>
  <c r="E77" i="2" s="1"/>
  <c r="G77" i="2" s="1"/>
  <c r="I128" i="9"/>
  <c r="I119" i="14" l="1"/>
  <c r="I138" i="14" s="1"/>
  <c r="I139" i="14" s="1"/>
  <c r="E64" i="2" s="1"/>
  <c r="F64" i="2" s="1"/>
  <c r="E104" i="2" s="1"/>
  <c r="G104" i="2" s="1"/>
  <c r="I117" i="9"/>
  <c r="I118" i="9"/>
  <c r="I119" i="9" s="1"/>
  <c r="I138" i="9" s="1"/>
  <c r="I139" i="9" s="1"/>
  <c r="E34" i="2" s="1"/>
  <c r="F34" i="2" s="1"/>
  <c r="E89" i="2" s="1"/>
  <c r="G89" i="2" s="1"/>
  <c r="I119" i="10"/>
  <c r="I138" i="10" s="1"/>
  <c r="I139" i="10" s="1"/>
  <c r="E40" i="2" s="1"/>
  <c r="F40" i="2" s="1"/>
  <c r="E92" i="2" s="1"/>
  <c r="G92" i="2" s="1"/>
  <c r="I119" i="8"/>
  <c r="I138" i="8" s="1"/>
  <c r="I139" i="8" s="1"/>
  <c r="E28" i="2" s="1"/>
  <c r="F28" i="2" s="1"/>
  <c r="E86" i="2" s="1"/>
  <c r="G86" i="2" s="1"/>
  <c r="I119" i="13"/>
  <c r="I138" i="13" s="1"/>
  <c r="I139" i="13" s="1"/>
  <c r="E58" i="2" s="1"/>
  <c r="F58" i="2" s="1"/>
  <c r="E101" i="2" s="1"/>
  <c r="G101" i="2" s="1"/>
  <c r="G109" i="2" l="1"/>
  <c r="G110" i="2" s="1"/>
  <c r="F3" i="1" s="1"/>
  <c r="E6" i="1" s="1"/>
  <c r="E3" i="1" l="1"/>
  <c r="E5" i="1" s="1"/>
</calcChain>
</file>

<file path=xl/sharedStrings.xml><?xml version="1.0" encoding="utf-8"?>
<sst xmlns="http://schemas.openxmlformats.org/spreadsheetml/2006/main" count="3701" uniqueCount="623">
  <si>
    <t>GRUPO 01 - Campus Amílcar Ferreira Sobral e Colégio Técnico de Floriano</t>
  </si>
  <si>
    <t>ITEM</t>
  </si>
  <si>
    <t>DESCRIÇÃO</t>
  </si>
  <si>
    <t xml:space="preserve">UNIDADE </t>
  </si>
  <si>
    <t>QUANTIDADE</t>
  </si>
  <si>
    <t xml:space="preserve">VALOR MENSAL </t>
  </si>
  <si>
    <t>VALOR TOTAL 
SEMESTRAL</t>
  </si>
  <si>
    <t>Prestação de serviço de limpeza, asseio e conservação das áreas internas e externas do Campus Amílcar Ferreira Sobral e Colégio Técnico de Floriano</t>
  </si>
  <si>
    <t>Serviço Mensal</t>
  </si>
  <si>
    <t>Operador de Roçadeira</t>
  </si>
  <si>
    <t>VALOR ESTIMADO MENSAL</t>
  </si>
  <si>
    <t>VALOR ESTIMADO SEMESTRAL</t>
  </si>
  <si>
    <t xml:space="preserve"> OBSERVAÇÃO: * Segundo o MTE a caracterização e classificação da insalubridade e da periculosidade, devem ser feitas através de perícia do Médico ou Engenheiro do Trabalho. (Art. 195 CLT).</t>
  </si>
  <si>
    <t>ANEXO I - Complemento dos Serviços de Limpeza e Conservação</t>
  </si>
  <si>
    <t>PREÇO MENSAL UNITÁRIO POR M²</t>
  </si>
  <si>
    <t>ÁREA INTERNA - PISOS ACARPETADOS</t>
  </si>
  <si>
    <t>MÃO DE OBRA</t>
  </si>
  <si>
    <t>(1)
PRODUTIVIDADE
(1/m²)</t>
  </si>
  <si>
    <t>(2)
PREÇO HOMEM-MÊS
(R$)</t>
  </si>
  <si>
    <t>(1 X 2)
SUB-TOTAL
(R$/m²)</t>
  </si>
  <si>
    <t>Encarregado</t>
  </si>
  <si>
    <t>(30** x 1200*)</t>
  </si>
  <si>
    <t>Servente</t>
  </si>
  <si>
    <t>ÁREA INTERNA - LABORATÓRIOS (INSALUBRIDADE 20%)</t>
  </si>
  <si>
    <t>(30** x 450*)</t>
  </si>
  <si>
    <t>Servente (Insalubridade 20%)</t>
  </si>
  <si>
    <t>ÁREA INTERNA - ALMOXARIFADOS E GALPÕES</t>
  </si>
  <si>
    <t>(30** x 1500*)</t>
  </si>
  <si>
    <t>ÁREA INTERNA - ALMOXARIFADOS E GALPÕES (Insalubridade 20%)</t>
  </si>
  <si>
    <t>ÁREA INTERNA - EPAÇOS LIVRES, SAGUÃO, HALL E SALÃO</t>
  </si>
  <si>
    <t>ÁREA INTERNA - BANHEIROS (Insalubridade 40%)</t>
  </si>
  <si>
    <t>(30** x 200*)</t>
  </si>
  <si>
    <t>Servente (Insalubridade 40%)</t>
  </si>
  <si>
    <t xml:space="preserve"> </t>
  </si>
  <si>
    <t>ÁREA EXTERNA - PISOS PAVIMENTADOS ADJACENTES</t>
  </si>
  <si>
    <t>(30** x 1800*)</t>
  </si>
  <si>
    <t>ÁREA EXTERNA - VARRIÇÃO DE PASSEIOS E ARRUAMENTOS</t>
  </si>
  <si>
    <t>(30** x 6000*)</t>
  </si>
  <si>
    <t>ÁREA EXTERNA - PÁTIOS E ÁREAS VERDES COM ALTA FREQUÊNCIA</t>
  </si>
  <si>
    <t>ÁREA EXTERNA - PÁTIOS E ÁREAS VERDES COM MÉDIA/BAIXA FREQUÊNCIA</t>
  </si>
  <si>
    <t>(30** x 2700*)</t>
  </si>
  <si>
    <t>ÁREA EXTERNA - COLETA DE DETRITOS</t>
  </si>
  <si>
    <t>(30** x 100000*)</t>
  </si>
  <si>
    <t>VALOR MENSAL E ANUAL DO SERVIÇO (R$)</t>
  </si>
  <si>
    <t xml:space="preserve">TIPO DE ÁREA
</t>
  </si>
  <si>
    <t>PREÇO MENSAL UNITÁRIO
(R$/m²)</t>
  </si>
  <si>
    <t>ÁREA
(m²)</t>
  </si>
  <si>
    <t>SUB-TOTAL
(R$)</t>
  </si>
  <si>
    <t>ENCARREGADO</t>
  </si>
  <si>
    <t>SERVENTE</t>
  </si>
  <si>
    <t>ÁREA INTERNA - LABORATÓRIOS (INSALUBRIDADE GRAU MÉDIO/20%)</t>
  </si>
  <si>
    <t>ÁREA INTERNA - ALMOXARIFADOS E GALPÕES (INSALUBRIDADE GRAU MÉDIO/20%)</t>
  </si>
  <si>
    <t>ÁREA INTERNA - ESPAÇOS LIVRES, SAGUÃO, HALL E SALÃO</t>
  </si>
  <si>
    <t>ÁREA INTERNA - BANHEIROS (INSALUBRIDADE GRAU MÁXIMO/40%)</t>
  </si>
  <si>
    <t>ÁREA EXTERNA - PISOS PAVIMENTADOS</t>
  </si>
  <si>
    <t>ÁREA EXTERNA - VARRIÇÃO DE PASSEIOS</t>
  </si>
  <si>
    <t>ÁREA EXTERNA - PÁTIOS E ÁREAS EXTERNA COM MÉDIA/BAIXA FREQUÊNCIA</t>
  </si>
  <si>
    <t>QUANTIDADE ESTIMADA DE FUNCIONÁRIOS</t>
  </si>
  <si>
    <t>TIPO DE ÁREAS ESTIMADAS (IN 5/2017)</t>
  </si>
  <si>
    <t>METRAGEM (m²) (A)</t>
  </si>
  <si>
    <t>Frequência de limpeza/ mês
(B)</t>
  </si>
  <si>
    <t>Metragem limpa/ mês
(C) = (A)X(B)</t>
  </si>
  <si>
    <t>Metragem limpa/dia
(D)=(C)/22</t>
  </si>
  <si>
    <t>Nº de postos necessários
(F)=(D)/produtividade adotada</t>
  </si>
  <si>
    <t>1</t>
  </si>
  <si>
    <t>INTERNAS</t>
  </si>
  <si>
    <t>1.1</t>
  </si>
  <si>
    <t>Pisos acarpetados/ frios: 800-1200² (cf. Anexo VI-B, item 3.1, alínea “a” e “b” da IN nº 5/2017). Produtividade adotada: 1200m²</t>
  </si>
  <si>
    <t>CAMPUS AMÍLCAR FERREIRA SOBRAL</t>
  </si>
  <si>
    <t>1.1.1</t>
  </si>
  <si>
    <t>Salas de aula Pavimento Térreo</t>
  </si>
  <si>
    <t>1.1.2</t>
  </si>
  <si>
    <t>Salas Administrativas Pavimento Térreo</t>
  </si>
  <si>
    <t>1.1.3</t>
  </si>
  <si>
    <t>Salas de aula Pavimento Superior</t>
  </si>
  <si>
    <t>1.1.4</t>
  </si>
  <si>
    <t>Salas Administrativas Pavimento Superior</t>
  </si>
  <si>
    <t>1.1.5</t>
  </si>
  <si>
    <t>Biblioteca</t>
  </si>
  <si>
    <t>1.1.6</t>
  </si>
  <si>
    <t>Laboratório de informatica, brinquedoteca, Liberte (lab de artes), residencia pedagógica, mini auditório</t>
  </si>
  <si>
    <t>Auditório</t>
  </si>
  <si>
    <t>Loja conceito e salas da administração</t>
  </si>
  <si>
    <t>Gabinetes dos professores</t>
  </si>
  <si>
    <t>COLÉGIO TÉCNICO DE FLORIANO</t>
  </si>
  <si>
    <t>1.1.8</t>
  </si>
  <si>
    <t>Salas de aula</t>
  </si>
  <si>
    <t>1.1.9</t>
  </si>
  <si>
    <t>Salas administrativas</t>
  </si>
  <si>
    <t>1.1.10</t>
  </si>
  <si>
    <t>FAZENDA EXPERIMENTAL NOVO RECREIO - ÁREA 1</t>
  </si>
  <si>
    <t>1.1.11</t>
  </si>
  <si>
    <t>Sala de Aula</t>
  </si>
  <si>
    <t>1.1.12</t>
  </si>
  <si>
    <t>Bloco da copa do Laboratório agroindustrial</t>
  </si>
  <si>
    <t>FAZENDA EXPERIMENTAL NOVO RECREIO - ÁREA 2</t>
  </si>
  <si>
    <t>1.1.13</t>
  </si>
  <si>
    <t>Vacaria</t>
  </si>
  <si>
    <t>ÁREAS DE USO COMUM CAFS/ CTF</t>
  </si>
  <si>
    <t>1.1.14</t>
  </si>
  <si>
    <t>Refeitório/ RU</t>
  </si>
  <si>
    <t>1.1.15</t>
  </si>
  <si>
    <t>Cozinha/ RU</t>
  </si>
  <si>
    <t>1.1.16</t>
  </si>
  <si>
    <t>Administrativo/ RU</t>
  </si>
  <si>
    <t>1.1.17</t>
  </si>
  <si>
    <t>Administrativo, alojamento/ Garagem</t>
  </si>
  <si>
    <t>1.1.18</t>
  </si>
  <si>
    <t>Guarita Vigilância</t>
  </si>
  <si>
    <t>1.1.19</t>
  </si>
  <si>
    <t>Residência Universitária</t>
  </si>
  <si>
    <t>1.2</t>
  </si>
  <si>
    <t>Laboratórios: 360-450m² (cf. Anexo VI-B, item 3.1, alínea “c” da IN nº 5/2017). Produtividade adotada: 450m² - FAZ JUS INSALUBRIDADE GRAU MÉDIO (20%)</t>
  </si>
  <si>
    <t>1.2.1</t>
  </si>
  <si>
    <t>Laboratórios de Biologia, Enfermagem e Ledoc – CAFS</t>
  </si>
  <si>
    <t>1.2.2</t>
  </si>
  <si>
    <t>Laboratório de produção da Administração</t>
  </si>
  <si>
    <t>1.2.3</t>
  </si>
  <si>
    <t>Lixeira para Descarte de resíduos laboratoriais</t>
  </si>
  <si>
    <t>1.2.4</t>
  </si>
  <si>
    <t>Laboratórios de enfermagem e solo</t>
  </si>
  <si>
    <t>1.2.5</t>
  </si>
  <si>
    <t>Lixeira proxima a BR</t>
  </si>
  <si>
    <t>1.2.6</t>
  </si>
  <si>
    <t>Laboratório de pisicultura</t>
  </si>
  <si>
    <t>1.2.7</t>
  </si>
  <si>
    <t>Laboratório agroindustrial</t>
  </si>
  <si>
    <t>1.2.8</t>
  </si>
  <si>
    <t>Casa do Mel</t>
  </si>
  <si>
    <t>1.2.9</t>
  </si>
  <si>
    <t>Câmara Fria/RU</t>
  </si>
  <si>
    <t>1.2.10</t>
  </si>
  <si>
    <t>Consultório Odontológico/Residencia Universitária</t>
  </si>
  <si>
    <t>1.2.11</t>
  </si>
  <si>
    <t>Lixeira/RU</t>
  </si>
  <si>
    <t>1.3</t>
  </si>
  <si>
    <t xml:space="preserve">Almoxarifados e galpões: 1500-2500m² (cf. Anexo VI-B, item 3.1, alínea “d” da IN nº 5/2017). Produtividade adotada: 1500m² </t>
  </si>
  <si>
    <t>1.3.1</t>
  </si>
  <si>
    <t>Almoxarifado</t>
  </si>
  <si>
    <t>1.3.2</t>
  </si>
  <si>
    <t>Depósitos</t>
  </si>
  <si>
    <t>1.3.3</t>
  </si>
  <si>
    <t>1.3.4</t>
  </si>
  <si>
    <t>Depósito (Alojamento Estudantil)</t>
  </si>
  <si>
    <t>1.3.5</t>
  </si>
  <si>
    <t>Garagem de Maquinas Agricolas</t>
  </si>
  <si>
    <t>1.3.6</t>
  </si>
  <si>
    <t>Almoxarifado/ Garagem</t>
  </si>
  <si>
    <t>1.3.7</t>
  </si>
  <si>
    <t>Almoxarifado/ RU</t>
  </si>
  <si>
    <t>1.4</t>
  </si>
  <si>
    <t>Almoxarifados e galpões: 1500-2500m² (cf. Anexo VI-B, item 3.1, alínea “d” da IN nº 5/2017). Produtividade adotada: 1500m² - FAZ JUS INSALUBRIDADE GRAU MÉDIO (20%)</t>
  </si>
  <si>
    <t>1.4.1</t>
  </si>
  <si>
    <t>Avicultura de Corte (4 Unidades)</t>
  </si>
  <si>
    <t>1.4.2</t>
  </si>
  <si>
    <t>Avicultura de posturas (2 Unidades)</t>
  </si>
  <si>
    <t>1.4.3</t>
  </si>
  <si>
    <t>Abatedouro de frango</t>
  </si>
  <si>
    <t>1.4.4</t>
  </si>
  <si>
    <t>Almoxarifado/ Galpão de Materiais e Ferramentas</t>
  </si>
  <si>
    <t>1.4.5</t>
  </si>
  <si>
    <t>Área proxima dos tanques de peixes</t>
  </si>
  <si>
    <t>1.4.6</t>
  </si>
  <si>
    <t>Suinocultura</t>
  </si>
  <si>
    <t>1.4.7</t>
  </si>
  <si>
    <t>1.5</t>
  </si>
  <si>
    <t>Áreas com espaços livres-saguão, hall e salão: 1000-1500m² (cf. Anexo VI-B, item 3.1, alínea “f” da IN nº 5/2017). Produtividade adotada: 1500m²</t>
  </si>
  <si>
    <t>1.5.1</t>
  </si>
  <si>
    <t>Passarelas, corredores, pavimento térreo</t>
  </si>
  <si>
    <t>1.5.2</t>
  </si>
  <si>
    <t>Passarelas, corredores, escadas rampas pavimento superior</t>
  </si>
  <si>
    <t>1.5.3</t>
  </si>
  <si>
    <t>Hall/Auditório</t>
  </si>
  <si>
    <t>1.5.4</t>
  </si>
  <si>
    <t>Corredores/Gabinete dos professores</t>
  </si>
  <si>
    <t>1.5.5</t>
  </si>
  <si>
    <t>Corredores/Loja Conceito e Lab. de produção</t>
  </si>
  <si>
    <t>1.5.6</t>
  </si>
  <si>
    <t>Hall, corredores, saguão</t>
  </si>
  <si>
    <t>1.5.7</t>
  </si>
  <si>
    <t>Quadra poliesportiva</t>
  </si>
  <si>
    <t>1.5.8</t>
  </si>
  <si>
    <t>Hall/ RU</t>
  </si>
  <si>
    <t>1.5.9</t>
  </si>
  <si>
    <t>Garagem</t>
  </si>
  <si>
    <t>1.6</t>
  </si>
  <si>
    <t>Banheiros: 200-300m² (cf. Anexo VI-B, item 3.1, alínea “g” da IN nº 5/2017). Produtividade adotada: 200m² - FAZ JUZ INSABLUBRIDADE GRAU MÁXIMO (40%) - SÚMULA 448 TST</t>
  </si>
  <si>
    <t>1.6.1</t>
  </si>
  <si>
    <t>Bloco do setor Administrativo, salas de aula e laboratórios Pavimento térreo</t>
  </si>
  <si>
    <t>1.6.2</t>
  </si>
  <si>
    <t>Bloco da Biblioteca, salas de aula e laboratórios Pavimento Superior</t>
  </si>
  <si>
    <t>1.6.3</t>
  </si>
  <si>
    <t>1.6.4</t>
  </si>
  <si>
    <t>Loja conceito e Lab de Produção</t>
  </si>
  <si>
    <t>1.6.5</t>
  </si>
  <si>
    <t>1.6.6</t>
  </si>
  <si>
    <t>Salas de aula, administrativos e outros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</si>
  <si>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</si>
  <si>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</si>
  <si>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</si>
  <si>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</si>
  <si>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</si>
  <si>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</si>
  <si>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</si>
  <si>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</si>
  <si>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</si>
  <si>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Cozinha, refeitório e outros/ RU</t>
  </si>
  <si>
    <t>1.6.16</t>
  </si>
  <si>
    <t>Guarita</t>
  </si>
  <si>
    <t>2</t>
  </si>
  <si>
    <t>ÁREAS EXTERNAS</t>
  </si>
  <si>
    <t>2.1</t>
  </si>
  <si>
    <t>Pisos pavimentados adjacentes/contíguos às edificações: 1800-2700m² (Anexo VI-B, item 3.2, alínea “a” IN nº 5/2017). Produtividade adotada: 1800m²</t>
  </si>
  <si>
    <t>2.1.1</t>
  </si>
  <si>
    <t>Calçadas adjacentes às edificações CAFS</t>
  </si>
  <si>
    <t>2.1.2</t>
  </si>
  <si>
    <t>Calçadas adjacentes às edificações Gabinete de Professores</t>
  </si>
  <si>
    <t>2.1.3</t>
  </si>
  <si>
    <t>Calçadas adjacentes às edificações Loja Conceito e Lab de Produção</t>
  </si>
  <si>
    <t>2.1.4</t>
  </si>
  <si>
    <t>Calçadas adjacentes às edificações</t>
  </si>
  <si>
    <t>2.1.5</t>
  </si>
  <si>
    <t>Calçadas adjacentes às edificações Sala de aula</t>
  </si>
  <si>
    <t>2.1.6</t>
  </si>
  <si>
    <t>Calçadas adjacentes às edificações Laboratório agroindustrial</t>
  </si>
  <si>
    <t>2.1.7</t>
  </si>
  <si>
    <t>Calçadas adjacentes às edificações Casa do Mel</t>
  </si>
  <si>
    <t>2.1.8</t>
  </si>
  <si>
    <t>Calçadas adjacentes às edificações Almoxarifado/Garagem de Maquinas Agricolas</t>
  </si>
  <si>
    <t>2.1.9</t>
  </si>
  <si>
    <t>Calçadas adjacentes às edificações - tanques psicultura</t>
  </si>
  <si>
    <t>2.1.10</t>
  </si>
  <si>
    <t>Calçadas adjacentes às edificações - laboratório da piscicultura</t>
  </si>
  <si>
    <t>2.1.11</t>
  </si>
  <si>
    <t>Calçadas adjacentes às edificações - Vacaria</t>
  </si>
  <si>
    <t>2.1.12</t>
  </si>
  <si>
    <t>Calçadas adjacentes às edificações/ RU</t>
  </si>
  <si>
    <t>2.1.13</t>
  </si>
  <si>
    <t>Calçadas adjacentes às edificações/ Garagem</t>
  </si>
  <si>
    <t>2.1.14</t>
  </si>
  <si>
    <t>Calçadas adjacentes às edificações/ Residência</t>
  </si>
  <si>
    <t>2.2</t>
  </si>
  <si>
    <t>Varrição de passeios e arruamentos: 6000-9000m² (Anexo VI-B, item 3.2, alínea “b” IN nº 5/2017). Produtividade adotada: 6000m²</t>
  </si>
  <si>
    <t>2.2.1</t>
  </si>
  <si>
    <t>Passeios e estacionamentos/ Prédio Principal</t>
  </si>
  <si>
    <t>2.2.2</t>
  </si>
  <si>
    <t>Passeios e estacionamentos/ Restaurante</t>
  </si>
  <si>
    <t>2.2.3</t>
  </si>
  <si>
    <t>Passeios e estacionamentos/ Gabinete dos professores</t>
  </si>
  <si>
    <t>2.2.4</t>
  </si>
  <si>
    <t>Passeios e estacionamentos/ Loja Conceito</t>
  </si>
  <si>
    <t>2.2.5</t>
  </si>
  <si>
    <t>Passeios e estacionamentos</t>
  </si>
  <si>
    <t>2.3</t>
  </si>
  <si>
    <t>Pátios e áreas verdes com alta frequência: 1800-2700m²  (Anexo VI-B, item 3.2, alínea “d” IN nº 5/2017). Produtividade adotada: 1800m²</t>
  </si>
  <si>
    <t>2.3.1</t>
  </si>
  <si>
    <t>Pátio Prédio Principal</t>
  </si>
  <si>
    <t>2.3.2</t>
  </si>
  <si>
    <t>Jardim proximo ao RU</t>
  </si>
  <si>
    <t>2.3.3</t>
  </si>
  <si>
    <t>Jardim proximo ao Gabinete de Professores</t>
  </si>
  <si>
    <t>2.3.4</t>
  </si>
  <si>
    <t>2.3.5</t>
  </si>
  <si>
    <t>Pátio Laboratório agroindustrial</t>
  </si>
  <si>
    <t>2.3.6</t>
  </si>
  <si>
    <t>Jardins Laboratório agroindustrial</t>
  </si>
  <si>
    <t>2.3.7</t>
  </si>
  <si>
    <t>Pátio da Vacaria</t>
  </si>
  <si>
    <t>2.4</t>
  </si>
  <si>
    <t>Pátio e áreas verdes com média/ baixa frequência: 1800-2700m² (cf. Anexo VI-B, Item 3.2, alínea "e" IN nº 5/2017). Produtividade adotada: 2700m²</t>
  </si>
  <si>
    <t>2.4.1</t>
  </si>
  <si>
    <t>Arredores Prédio Principal - Executado a cada 3 meses</t>
  </si>
  <si>
    <t>2.4.2</t>
  </si>
  <si>
    <t>Arredores Gabinete dos Professores - Executado a cada 3 meses</t>
  </si>
  <si>
    <t>Arredores do Prédio Principal - Executado a cada 3 meses</t>
  </si>
  <si>
    <t>2.4.3</t>
  </si>
  <si>
    <t>Arredores da quadra Poliesportiva</t>
  </si>
  <si>
    <t>2.4.4</t>
  </si>
  <si>
    <t>Campo de futebol</t>
  </si>
  <si>
    <t>2.4.5</t>
  </si>
  <si>
    <t>Arredores do campo de futebol</t>
  </si>
  <si>
    <t>2.4.6</t>
  </si>
  <si>
    <t>Arredores dos Prédios (laboratórios, galpões, agoindustria, psicultura, outros) - Executado a cada 1 meses</t>
  </si>
  <si>
    <t>2.4.7</t>
  </si>
  <si>
    <t>Caminho até a bomba d'agua - Executado a cada 3 meses</t>
  </si>
  <si>
    <t>2.4.8</t>
  </si>
  <si>
    <t>Ao redor do Viveiro -  Executado a cada 6 meses</t>
  </si>
  <si>
    <t>2.4.9</t>
  </si>
  <si>
    <t>Arredores dos Prédios (suinocultura, vacaria e apriscos - Executado a cada 1 meses</t>
  </si>
  <si>
    <t>2.4.10</t>
  </si>
  <si>
    <t>Arredores da Caixa d'água, ETE, RU, Loja Conceito, Residência e Alojamento Estudantil - Executado a cada 3 meses</t>
  </si>
  <si>
    <t>2.4.11</t>
  </si>
  <si>
    <t>Arredores da Garagem - Excutado a cada 3 meses</t>
  </si>
  <si>
    <t>2.4.12</t>
  </si>
  <si>
    <t>Arredores da Rua Principal - Executado a cada 3 meses</t>
  </si>
  <si>
    <t>2.5</t>
  </si>
  <si>
    <t>Coleta de detritos em pátios e áreas verdes com frequência diária: 100.000 m2. (cf. Anexo VI-B, item 3.2, alínea “f” IN nº 5/2017). Produtividade adotada: 100.000m²</t>
  </si>
  <si>
    <t>2.5.1</t>
  </si>
  <si>
    <t>Ruas gerais, passeio das ruas</t>
  </si>
  <si>
    <t>-</t>
  </si>
  <si>
    <t>TOTAL ESTIMADO DE SERVENTES</t>
  </si>
  <si>
    <t>TOTAL ESTIMADO DE ENCARREGADO</t>
  </si>
  <si>
    <t>OBSERVAÇÕES:</t>
  </si>
  <si>
    <r>
      <rPr>
        <b/>
        <sz val="10"/>
        <rFont val="Arial"/>
        <charset val="134"/>
      </rPr>
      <t>O valor do metro quadrado nas áreas internas e externas do servente de limpeza é resultado da seguinte operação</t>
    </r>
    <r>
      <rPr>
        <b/>
        <sz val="10"/>
        <color rgb="FFFF0000"/>
        <rFont val="Arial"/>
        <charset val="134"/>
      </rPr>
      <t>:  = (1/produtividade adotada na área) X Preço Homem-mês.</t>
    </r>
  </si>
  <si>
    <r>
      <rPr>
        <b/>
        <sz val="10"/>
        <rFont val="Arial"/>
        <charset val="134"/>
      </rPr>
      <t>O valor do metro quadrado nas áreas internas e externas do encarregado é resultado da seguinte operação</t>
    </r>
    <r>
      <rPr>
        <b/>
        <sz val="10"/>
        <color rgb="FFFF0000"/>
        <rFont val="Arial"/>
        <charset val="134"/>
      </rPr>
      <t>:  = (Preço Homem-mês/(30 X Produtividade da área).</t>
    </r>
  </si>
  <si>
    <t>Para chegar no valor mensal do serviço, adotou-se o seguinte procedimento:</t>
  </si>
  <si>
    <t>Multiplicou-se o preço mensal unitário do metro quadrado pela quantidade da área a ser limpa. Depois somou-se o valor mensal de cada área, chegando assim no valor estimado mensal e valor estimado semestral.</t>
  </si>
  <si>
    <t>A realização do cálculo para estimar a quantidade de serventes foi realizada em 4 partes: na primeira, dividiu-se a quantidade da respectiva área física a ser limpa pela produtividade adotada. Na segunda, somou-se o resultado de todas as áreas físicas internas e,  como a soma gerou duas casas decimais, o resultado foi arredondado para baixo porque o algarismo na casa condição é menor que 5. Na terceira, somou-se o resultado de todas as áreas físicas externas e,  como a soma gerou duas casas decimais, o resultado foi arredondado para baixo porque o algarismo na casa condição é menor que 5. Por fim, foi realizada a soma do total das áreas físicas internas e externas, chegando assim no total estimado de serventes.</t>
  </si>
  <si>
    <t>Para estimar a quantidade de encarregado dividiu-se a quantidade de serventes estimada por 30.  Como a divisão gerou duas casas decimais, o resultado foi arredondado para baixo porque o algarismo na casa condição é menor que 5.</t>
  </si>
  <si>
    <t>Para a realização dos cálculos acima observou-se o disposto  nos itens 6. (Complemento dos Serviços de Limpeza e Conservação) e 7. (Valor Mensal dos Serviços), contidos no Anexo VII-D (Modelo de Planilha de Custos e Formação de Preços) da IN 05/2017.</t>
  </si>
  <si>
    <t>Categoria profissional: ENCARREGADO DE TURMA DE LIMPEZA - 44 HORAS</t>
  </si>
  <si>
    <t>Nº do Processo</t>
  </si>
  <si>
    <t>23111.043918/2024-90</t>
  </si>
  <si>
    <t>Discriminação dos Serviços</t>
  </si>
  <si>
    <t>A</t>
  </si>
  <si>
    <t>Data de apresentação da proposta</t>
  </si>
  <si>
    <t>B</t>
  </si>
  <si>
    <t>Município</t>
  </si>
  <si>
    <t>FLORIANO-PI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</si>
  <si>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</si>
  <si>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</si>
  <si>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</si>
  <si>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</si>
  <si>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</si>
  <si>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</si>
  <si>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</si>
  <si>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estimada a contratar (em função da unidade de medida)</t>
  </si>
  <si>
    <t>Limpeza e Conserv.</t>
  </si>
  <si>
    <t>Posto</t>
  </si>
  <si>
    <t>Dados para composição dos custos referentes à mão-de-obra</t>
  </si>
  <si>
    <t>Tipo de serviço (mesmo serviço com características distintas)</t>
  </si>
  <si>
    <t>ENCARREGADO DE TURMA DE LIMPEZA</t>
  </si>
  <si>
    <t>Classificação Brasileira de Ocupações (CBO)</t>
  </si>
  <si>
    <t>4101-05</t>
  </si>
  <si>
    <t>Salário Nominativo da Categoria Profissional</t>
  </si>
  <si>
    <t>Categoria profissional (vinculada à execução contratual)</t>
  </si>
  <si>
    <t>SINDICATO DAS EMPRESAS DE ASSEIO E CONSERVACAO DO ESTADO DO PIAUI</t>
  </si>
  <si>
    <t>Data base da categoria (dia/mês/ano)</t>
  </si>
  <si>
    <t>1º janeiro de 2024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</si>
  <si>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</si>
  <si>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</si>
  <si>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</si>
  <si>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</si>
  <si>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</si>
  <si>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</si>
  <si>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</si>
  <si>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</si>
  <si>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</si>
  <si>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</si>
  <si>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</si>
  <si>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</si>
  <si>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</si>
  <si>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</si>
  <si>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</si>
  <si>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</t>
  </si>
  <si>
    <t>Férias e Abono de Férias</t>
  </si>
  <si>
    <t>TOTAL SUBMÓDULO 2.1</t>
  </si>
  <si>
    <r>
      <rPr>
        <b/>
        <sz val="10"/>
        <color rgb="FF000000"/>
        <rFont val="Arial"/>
        <charset val="134"/>
      </rPr>
      <t xml:space="preserve">BASE DE CÁLCULO PARA O SUBMÓDULO 2.2 </t>
    </r>
    <r>
      <rPr>
        <sz val="10"/>
        <color rgb="FF000000"/>
        <rFont val="Arial"/>
        <charset val="134"/>
      </rPr>
      <t>(MÓDULO 1 + SUBMÓDULO 2.1)</t>
    </r>
  </si>
  <si>
    <t>MÓDULO 1</t>
  </si>
  <si>
    <t>SUBMÓDULO 2.1</t>
  </si>
  <si>
    <t>TOTAL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</si>
  <si>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</si>
  <si>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</si>
  <si>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</si>
  <si>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</si>
  <si>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</si>
  <si>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</si>
  <si>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</si>
  <si>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</si>
  <si>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</si>
  <si>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</si>
  <si>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</si>
  <si>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>TOTAL SUBMÓDULO 2.2</t>
  </si>
  <si>
    <t>Submódulo 2.3 - Benefícios Mensais e Diários</t>
  </si>
  <si>
    <t>Transporte</t>
  </si>
  <si>
    <t>Auxílio-Refeição/Alimentação</t>
  </si>
  <si>
    <t>Assistência Médica e Familiar</t>
  </si>
  <si>
    <t>Seguro de vida</t>
  </si>
  <si>
    <t>TOTAL SUBMÓDULO 2.3</t>
  </si>
  <si>
    <t>QUADRO-RESUMO DO MÓDULO 2 - ENCARGOS, BENEFÍCIOS ANUAIS, MENSAIS E DIÁRIOS</t>
  </si>
  <si>
    <t>Módulo 2 - Encargos, Benefícios Anuais, Mensais e Diários</t>
  </si>
  <si>
    <t>13º Salário, Férias e Adicional de Férias</t>
  </si>
  <si>
    <t>GPS, FGTS e Outras Contribuições</t>
  </si>
  <si>
    <t>Benefícios Mensais e Diários</t>
  </si>
  <si>
    <t>TOTAL DO MÓDULO 2</t>
  </si>
  <si>
    <r>
      <rPr>
        <b/>
        <sz val="10"/>
        <color rgb="FF000000"/>
        <rFont val="Arial"/>
        <charset val="134"/>
      </rPr>
      <t xml:space="preserve">BASE DE CÁLCULO PARA O MÓDULO 3 </t>
    </r>
    <r>
      <rPr>
        <sz val="10"/>
        <color rgb="FF000000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</si>
  <si>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</si>
  <si>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</si>
  <si>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</si>
  <si>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</si>
  <si>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</si>
  <si>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</si>
  <si>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</si>
  <si>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</si>
  <si>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</si>
  <si>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rgb="FF000000"/>
        <rFont val="Arial"/>
        <charset val="134"/>
      </rPr>
      <t xml:space="preserve">BASE DE CÁLCULO PARA O MÓDULO 4 </t>
    </r>
    <r>
      <rPr>
        <sz val="10"/>
        <color rgb="FF000000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</si>
  <si>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</si>
  <si>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</si>
  <si>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</si>
  <si>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</si>
  <si>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</si>
  <si>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</si>
  <si>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</si>
  <si>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</si>
  <si>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</si>
  <si>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</si>
  <si>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</si>
  <si>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</si>
  <si>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</si>
  <si>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</si>
  <si>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</si>
  <si>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</si>
  <si>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</si>
  <si>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</si>
  <si>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</si>
  <si>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</si>
  <si>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</si>
  <si>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</si>
  <si>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</si>
  <si>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</si>
  <si>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</si>
  <si>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</si>
  <si>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</si>
  <si>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rgb="FF000000"/>
        <rFont val="Arial"/>
        <charset val="134"/>
      </rPr>
      <t xml:space="preserve">BASE DE CÁLCULO PARA O MÓDULO 6 </t>
    </r>
    <r>
      <rPr>
        <sz val="10"/>
        <color rgb="FF000000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</si>
  <si>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</si>
  <si>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</si>
  <si>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</si>
  <si>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</si>
  <si>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</si>
  <si>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</si>
  <si>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</si>
  <si>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</si>
  <si>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</si>
  <si>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</si>
  <si>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</si>
  <si>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</si>
  <si>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</si>
  <si>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</si>
  <si>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</si>
  <si>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</si>
  <si>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</si>
  <si>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</si>
  <si>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</si>
  <si>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</si>
  <si>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</si>
  <si>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</si>
  <si>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</si>
  <si>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</si>
  <si>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</si>
  <si>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OPERADOR DE ROÇADEIRA - 44 HORAS</t>
  </si>
  <si>
    <t>OPERADOR DE ROÇADEIRA</t>
  </si>
  <si>
    <t>6410-15</t>
  </si>
  <si>
    <t>QUANTIDADE DE EMPREGADOS NO POSTO</t>
  </si>
  <si>
    <t>PREÇO TOTAL DO EMPREGADO</t>
  </si>
  <si>
    <t>VALOR TOTAL DO POSTO</t>
  </si>
  <si>
    <t>Categoria profissional: SERVENTE DE LIMPEZA INTERNO ( 44 HORAS) - PISOS ACARPETEADOS</t>
  </si>
  <si>
    <t>M²</t>
  </si>
  <si>
    <t>SERVENTE LIMPEZA ÁREAS INST.</t>
  </si>
  <si>
    <t>5143-20</t>
  </si>
  <si>
    <t>Categoria profissional: SERVENTE DE LIMPEZA INTERNA - 44 HORAS (20% INSALUBRIDADE) - LABORATÓRIOS</t>
  </si>
  <si>
    <t>* Adicional de Insalubridade incidente sobre o salário mínimo</t>
  </si>
  <si>
    <t>Categoria profissional: SERVENTE DE LIMPEZA INTERNA  (44 HORAS) - ALMOXARIFADOS E GALPÕES</t>
  </si>
  <si>
    <t>Categoria profissional: SERVENTE DE LIMPEZA INTERNA - 44 HORAS - (20% INSALUBRIDADE) - ALMOXARIFADOS E GALPÕES</t>
  </si>
  <si>
    <t>Categoria profissional: SERVENTE DE LIMPEZA INTERNA  (44 HORAS) - ESPAÇOS LIVRES: SAGUÃO, HALL E SALÃO</t>
  </si>
  <si>
    <t>Categoria profissional: SERVENTE DE LIMPEZA INTERNA - 44 HORAS (40% INSALUBRIDADE) - BANHEIROS</t>
  </si>
  <si>
    <t>SERVENTE LIMPEZA - BANHEIRO COLETIVO GRANDE CIRCULAÇÃO</t>
  </si>
  <si>
    <t>Categoria profissional: SERVENTE DE LIMPEZA EXTERNA (44 HORAS) - PISOS PAVIMENTADOS</t>
  </si>
  <si>
    <t>Categoria profissional: SERVENTE DE LIMPEZA EXTERNA (44 HORAS) - VARRIÇÃO DE PASSEIOS</t>
  </si>
  <si>
    <t>Categoria profissional: SERVENTE DE LIMPEZA EXTERNA (44 HORAS) - PÁTIOS E ÁREAS VERDES COM ALTA FREQUÊNCIA</t>
  </si>
  <si>
    <t>Categoria profissional: SERVENTE DE LIMPEZA EXTERNA (44 HORAS) - PÁTIOS E ÁREAS VERDE COM BAIXA FREQUÊNCIA</t>
  </si>
  <si>
    <t>Categoria profissional: SERVENTE DE LIMPEZA EXTERNA (44 HORAS) - COLETA DE DETRITOS</t>
  </si>
  <si>
    <t>TABELA 1 - QUANTITATIVOS MÍNIMOS DE MATERIAL DE LIMPEZA - UTILIZADOS PELO SERVENTE DE LIMPEZA INTERNO (ENTREGA MENSAL)</t>
  </si>
  <si>
    <t>UNIDADE</t>
  </si>
  <si>
    <t>QUANT.</t>
  </si>
  <si>
    <t>VALOR UNITÁRIO</t>
  </si>
  <si>
    <t>VALOR TOTAL</t>
  </si>
  <si>
    <t>01</t>
  </si>
  <si>
    <t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</si>
  <si>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>Caixa c/12 Unidades</t>
  </si>
  <si>
    <t>02</t>
  </si>
  <si>
    <t>Álcool etílico limpeza de ambientes, tipo etílico hidratado (líquido), aplicação limpeza, Concentração 70%. Embalagem de 1 L</t>
  </si>
  <si>
    <t>03</t>
  </si>
  <si>
    <t>Solução ácida para limpeza, embalagem de 1 litro</t>
  </si>
  <si>
    <t>Unidade</t>
  </si>
  <si>
    <t>04</t>
  </si>
  <si>
    <t>Cera, tipo líquida, cor incolor leitoso, composição a base de água, carnaúba e resinas metalizadas, características adicionais antiderrapante, impermeabilizante, aplicação limpeza de pisos. Galão com 5 litros</t>
  </si>
  <si>
    <t>05</t>
  </si>
  <si>
    <t>Desodorizador, apresentação aerosol, aplicação aromatizador ambiental, características adicionais Ação neutralizante. Embalagem de 360 ml</t>
  </si>
  <si>
    <t>06</t>
  </si>
  <si>
    <t>Desinfetante, composição à base de quaternário de amônio, forma física solução aquosa concentrada, característica adicional com aroma, embalagem de 1 litro</t>
  </si>
  <si>
    <t>07</t>
  </si>
  <si>
    <t>Desodorizador sanitário, composição paradicloro benzeno, essência e corante, peso líquido 35g, aspecto físico tablete sólido, características adicionais suporte plástico para vaso sanitário. Com 3 unidades.</t>
  </si>
  <si>
    <t>08</t>
  </si>
  <si>
    <t>Limpa Cerâmicas. (Ex. Azulim). Embalagem de 1 litro</t>
  </si>
  <si>
    <t>09</t>
  </si>
  <si>
    <t>Flanela tamanho 40 x 60 cm (no mínimo). Podendo variar em até 5% para mais ou para menos</t>
  </si>
  <si>
    <t>10</t>
  </si>
  <si>
    <t>Lustra móveis. Embalagem de 200 ml</t>
  </si>
  <si>
    <t>11</t>
  </si>
  <si>
    <t>Pano de chão alvejado – tamanho aprox. De 60 x 40cm - com resistência aproximada de 24 (vinte e quatro) batidas</t>
  </si>
  <si>
    <t>12</t>
  </si>
  <si>
    <t>Palha de aço fina</t>
  </si>
  <si>
    <t>Fardo c/ 14 unidades</t>
  </si>
  <si>
    <t>13</t>
  </si>
  <si>
    <t>Veneno para matar insetos. Embalagem de 300 ml / 196 g</t>
  </si>
  <si>
    <t>14</t>
  </si>
  <si>
    <t>Papel toalha picotado, com 1250 folhas tamanho 23 x 21 cm</t>
  </si>
  <si>
    <t>Pacote c/ 1250 folhas</t>
  </si>
  <si>
    <t>15</t>
  </si>
  <si>
    <t>Papel higiênico, material celulose virgem, comprimento 30 m, largura 10 cm, tipo picotado, quantidade Folha dupla, cor branca, características adicionais extra macio e sem perfume. Fardo com 64 unidades</t>
  </si>
  <si>
    <t>Fardo c/ 64 pacotes c/ 4 rolos</t>
  </si>
  <si>
    <t>16</t>
  </si>
  <si>
    <t>Sabonete líquido, aspecto físico líquido Cremoso perolado, aplicação assepsia das mãos, características Adicionais ph neutro, densidade 0,9 a 1,05 g/m3, composição agentes emolientes e hidratantes, compostos de sais.</t>
  </si>
  <si>
    <t>Frasco c/ 5 litros</t>
  </si>
  <si>
    <t>17</t>
  </si>
  <si>
    <t>Sabão em pó granulado. Embalagem de 500g</t>
  </si>
  <si>
    <t>Pacote</t>
  </si>
  <si>
    <t>18</t>
  </si>
  <si>
    <t>Sabão em barra, glicerinado, pacote com 1 kg Divididos em 5 barras de 200 gr.</t>
  </si>
  <si>
    <t>Pacote c/ 5 barras</t>
  </si>
  <si>
    <t>19</t>
  </si>
  <si>
    <t>Saco plástico para lixo de 30 litros</t>
  </si>
  <si>
    <t>Fardo com 100 unidades</t>
  </si>
  <si>
    <t>20</t>
  </si>
  <si>
    <t>Saco plástico para lixo 50 litros</t>
  </si>
  <si>
    <t>21</t>
  </si>
  <si>
    <t>Saco Plástico pra lixo 100 litros</t>
  </si>
  <si>
    <t>22</t>
  </si>
  <si>
    <t>Álcool em gel, embalagem contendo 550ml, caixa</t>
  </si>
  <si>
    <t>23</t>
  </si>
  <si>
    <t>Esponja dupla face para limpeza</t>
  </si>
  <si>
    <t>Caixa com 60 unidades</t>
  </si>
  <si>
    <t>24</t>
  </si>
  <si>
    <t>Detergente líquido neutro, embalagem de 500 ml</t>
  </si>
  <si>
    <t>Caixa com 24 unidades</t>
  </si>
  <si>
    <t>25</t>
  </si>
  <si>
    <t>Cera, tipo líquida, cor preta, aplicação limpeza de pisos. Galão com 5 litros</t>
  </si>
  <si>
    <t>26</t>
  </si>
  <si>
    <t>Soda cáustica, pote 500 g</t>
  </si>
  <si>
    <t>Limpador para quadro branco, com gatilho spray 500 ml</t>
  </si>
  <si>
    <t>EMPREGADOS</t>
  </si>
  <si>
    <t>VALOR MENSAL POR EMPREGADO</t>
  </si>
  <si>
    <t>TABELA 2 - MATERIAIS – AQUISIÇÃO IMEDIATA</t>
  </si>
  <si>
    <t>SERVENTE DE LIMPEZA INTERNA</t>
  </si>
  <si>
    <t>Dispenser para papel toalha</t>
  </si>
  <si>
    <t>Dispenser para álcool em gel, capacidade 800ml</t>
  </si>
  <si>
    <t>Mangueira para jardim ¾' x 2,00mm peça com 30 metros.</t>
  </si>
  <si>
    <t>Mangueira para jardim ½” x 2,00mm peça com 30 metros.</t>
  </si>
  <si>
    <t>Adaptador de mangueiras ½”</t>
  </si>
  <si>
    <t>Adaptador de mangueiras ¾'</t>
  </si>
  <si>
    <t>Cavalete piso molhado/escorregadio, medindo 62/30cm fabricado em PEAD (polietileno de alta resistência)</t>
  </si>
  <si>
    <t>Desentupidor vaso sanitário: haste de plástico 40cm e base de borracha</t>
  </si>
  <si>
    <t>Pá pequena material plástico com cabo de 80cm para lixo</t>
  </si>
  <si>
    <t>Rodo de alumínio com cabo de madeira, 40cm</t>
  </si>
  <si>
    <t>Rodo de plástico 40cm, com cabo madeira, aplicação limpeza em geral.
Caixa com 12 unidades</t>
  </si>
  <si>
    <t>Balde plástico cap. 30 litros com tampa</t>
  </si>
  <si>
    <t>Balde plástico cap. 10 litros</t>
  </si>
  <si>
    <t>Vassoura de nylon, p/uso em vaso sanitário, c/cabo de material Plástico, impermeável, passível de desinfecção</t>
  </si>
  <si>
    <t>Escovinha de nylon</t>
  </si>
  <si>
    <t>Lixeira plástica de 10 litros</t>
  </si>
  <si>
    <t>Vassoura, material com cerdas de pelo sintético, material cabo madeira, Comprimento cepa 30 cm, aplicação Limpeza em geral. Caixa com 12 unidades.</t>
  </si>
  <si>
    <t>Espanador de pó 40cm pena de avestruz</t>
  </si>
  <si>
    <t xml:space="preserve">Unidade </t>
  </si>
  <si>
    <t>Espanador De Microfibra Para Limpeza Eletrostático Extensível Com Haste   Longa 142 Cm Cabeça Dobrável</t>
  </si>
  <si>
    <t>SERVENTE DE LIMPEZA EXTERNA</t>
  </si>
  <si>
    <t>Vassoura Rastelo Fixa 22 Dentes Em Aço</t>
  </si>
  <si>
    <t>VALOR TOTAL SERVENTE DE LIMPEZA INTERNA</t>
  </si>
  <si>
    <t>VALOR TOTAL SERVENTE DE LIMPEZA EXTERNA</t>
  </si>
  <si>
    <t>TABELA 3 - FERRAMENTAS – AQUISIÇÃO IMEDIATA</t>
  </si>
  <si>
    <t>Enxada Norte estreita em aço SAE 1045, diâmetro de olho 38 mm, acabamento em verniz e cabo de madeira redondo, dimensões (2,0 libras – 230 x 240 mm).</t>
  </si>
  <si>
    <t>Vassourão gari reforçado, cerdas de PET 0,8 mm, dimensões 40 x 6 x 10 cm para varrição pesada. Cabo em madeira 1,40m.</t>
  </si>
  <si>
    <t>Ciscador ancinho de aço</t>
  </si>
  <si>
    <r>
      <rPr>
        <b/>
        <sz val="11"/>
        <color rgb="FF000000"/>
        <rFont val="Calibri"/>
        <charset val="134"/>
      </rPr>
      <t>TABELA 4
FERRAMENTAS/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34"/>
      </rPr>
      <t>MATERIAIS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34"/>
      </rPr>
      <t>UTILIZADOS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34"/>
      </rPr>
      <t>PELOS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34"/>
      </rPr>
      <t>OPERADORES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34"/>
      </rPr>
      <t>DE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34"/>
      </rPr>
      <t>ROÇADEIRA -  AQUISIÇÃO IMEDIATA</t>
    </r>
  </si>
  <si>
    <r>
      <rPr>
        <b/>
        <sz val="11"/>
        <color rgb="FF000000"/>
        <rFont val="Calibri"/>
        <charset val="1"/>
      </rPr>
      <t>OPERADOR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"/>
      </rPr>
      <t>DE</t>
    </r>
    <r>
      <rPr>
        <b/>
        <sz val="8"/>
        <color rgb="FF0000FF"/>
        <rFont val="Arial;Arial"/>
        <family val="2"/>
        <charset val="1"/>
      </rPr>
      <t xml:space="preserve"> </t>
    </r>
    <r>
      <rPr>
        <b/>
        <sz val="11"/>
        <color rgb="FF000000"/>
        <rFont val="Calibri"/>
        <charset val="1"/>
      </rPr>
      <t>ROÇADEIRA</t>
    </r>
  </si>
  <si>
    <t>Fio de Nylon Vermelho Redondo 2,65mm x 15m para Roçadeira</t>
  </si>
  <si>
    <t xml:space="preserve">TABELA 5 - EQUIPAMENTOS </t>
  </si>
  <si>
    <t>VIDA ÚTIL (MESES)</t>
  </si>
  <si>
    <t>VALOR DEPRECIÁVEL (80%)</t>
  </si>
  <si>
    <t>DEPRECIAÇÃO MENSAL</t>
  </si>
  <si>
    <t>Escada de alumínio com 4 degraus</t>
  </si>
  <si>
    <t>Cortador de grama, voltagem 220v, tipo elétrico, potência mínima de 1.000w, coletor com capacidade mínima de 23 litros.</t>
  </si>
  <si>
    <t>Carrinho de mão</t>
  </si>
  <si>
    <t>Roçadeira manual, 40,2 cilindradas, gasolina, potência do motor de 2,2 hp, tipo de empunhadura guidões ajustáveis, tipo cortador fio náilon e/ou lâmina aço.</t>
  </si>
  <si>
    <t>VALOR TOTAL OPERADOR DE ROÇADEIRA</t>
  </si>
  <si>
    <t>TABELA 6 - QUANTITATIVOS MÍNIMOS DE EPI'S</t>
  </si>
  <si>
    <t>SERVENTE DE LIMPEZA EXTERNO – ENTREGA ANUAL</t>
  </si>
  <si>
    <t>Luva de segurança confeccionada em raspa, tira de reforço externo em raspa entre os dedos polegar e indicador, punhos de 7cm, 15cm e 20cm. Com CA.</t>
  </si>
  <si>
    <t>PAR</t>
  </si>
  <si>
    <t>Chapéu com proteção solar para rosto, nuca e orelhas. Com CA.</t>
  </si>
  <si>
    <t>Óculos de Segurança (Lentes em Policarbonato de alta resistência a impacto, anti-risco e incolor. Hastes tipo espátula com ajuste de comprimento, proteção UVA). Com CA.</t>
  </si>
  <si>
    <t>TOTAL ANUAL</t>
  </si>
  <si>
    <t>TOTAL MENSAL POR FUNCIONÁRIO</t>
  </si>
  <si>
    <t>SERVENTE DE LIMPEZA INTERNO (DEMAIS ÁREAS)</t>
  </si>
  <si>
    <t>Luva de látex, hipoalergênica, revestimento interno em verniz silver, superfície externa antiderrapante na palma e face palmar dos dedos, lisa na face dorsal e punho; Tamanho P</t>
  </si>
  <si>
    <t>Luva de látex, hipoalergênica, revestimento interno em verniz silver, superfície externa antiderrapante na palma e face palmar dos dedos, lisa na face dorsal e punho; Tamanho M</t>
  </si>
  <si>
    <t>Luva de látex, hipoalergênica, revestimento interno em verniz silver, superfície externa antiderrapante na palma e face palmar dos dedos, lisa na face dorsal e punho; Tamanho G</t>
  </si>
  <si>
    <t>TABELA 5 - QUANTITATIVOS MÍNIMOS DE EPI'S ANUAL –  SERVENTE DE LIMPEZA INTERNO (ÁREAS INSALUBRES)</t>
  </si>
  <si>
    <t>Máscara respirador descartável PFF2/ N95</t>
  </si>
  <si>
    <t>TABELA 5 - QUANTITATIVOS MÍNIMOS DE EPI'S ANUAL –  OPERADOR DE ROÇADEIRA</t>
  </si>
  <si>
    <t>Protetor facial com tela de aço para operador de roçadeira. Com CA.</t>
  </si>
  <si>
    <t>Tela de proteção para trabalhos com roçadeira, medindo 2m x 5m, confeccionada em nylon, com hastes metálicas.</t>
  </si>
  <si>
    <t>Protetor Auricular de inserção em silicone. Atenuação mínima de 15 dB. Com CA. Caixa c/ 100 unidades</t>
  </si>
  <si>
    <t>CAIXA</t>
  </si>
  <si>
    <t xml:space="preserve">TABELA COM QUANTITATIVO DE UNIFORMES </t>
  </si>
  <si>
    <t>TABELA 6 - SERVENTE DE LIMPEZA INTERNA (ÁREAS INSALUBRES)</t>
  </si>
  <si>
    <t>ENTREGA</t>
  </si>
  <si>
    <t>QT. POR FUNCIONÁRIO</t>
  </si>
  <si>
    <t>Bota de borracha, cor preta, cano médio, com palmilha antibacteriana e confortável, com solado de borracha antiderrapante, com CA*</t>
  </si>
  <si>
    <t>ANUAL</t>
  </si>
  <si>
    <t>Calça em brim/ jeans com bolsos laterais e traseiros</t>
  </si>
  <si>
    <t>Camiseta 100% algodão, manga curta e gola careca, com logo da empresa</t>
  </si>
  <si>
    <t>Crachá de identificação com foto, porta crachá e prendedor</t>
  </si>
  <si>
    <t>Meia 100% algodão, cano médio</t>
  </si>
  <si>
    <t>Calçado de segurança, cor preta com solado antiderrapante, impermeável, com palmilha antibacteriana e confortável. Com CA.</t>
  </si>
  <si>
    <t>VALOR ANUAL</t>
  </si>
  <si>
    <t>VALOR MENSAL</t>
  </si>
  <si>
    <t>TABELA 6 - SERVENTE DE LIMPEZA INTERNA (DEMAIS ÁREAS) E ENCARREGADO</t>
  </si>
  <si>
    <t>TABELA 6 - SERVENTE DE LIMPEZA EXTERNA E OPERADOR DE ROÇADEIRA</t>
  </si>
  <si>
    <t>Camiseta 100% algodão, manga longa e gola careca, com proteção UV</t>
  </si>
  <si>
    <t>VALOR MÁXIMO ESTIMADO MENSAL</t>
  </si>
  <si>
    <t>VALOR MÁXIMO ESTIMADO SEMESTRAL</t>
  </si>
  <si>
    <t>PI000114/2024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</si>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</sst>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R$-416]\ #,##0.00;[Red]\-[$R$-416]\ #,##0.00"/>
    <numFmt numFmtId="165" formatCode="_-[$R$-416]\ * #,##0.00_-;\-[$R$-416]\ * #,##0.00_-;_-[$R$-416]\ * \-??_-;_-@_-"/>
    <numFmt numFmtId="166" formatCode="_-* #,##0.00_-;\-* #,##0.00_-;_-* \-??_-;_-@_-"/>
    <numFmt numFmtId="167" formatCode="_(&quot;R$ &quot;* #,##0.00_);_(&quot;R$ &quot;* \(#,##0.00\);_(&quot;R$ &quot;* \-??_);_(@_)"/>
    <numFmt numFmtId="168" formatCode="_(* #,##0.00_);_(* \(#,##0.00\);_(* \-??_);_(@_)"/>
    <numFmt numFmtId="169" formatCode="_-&quot;R$ &quot;* #,##0.00_-;&quot;-R$ &quot;* #,##0.00_-;_-&quot;R$ &quot;* \-??_-;_-@_-"/>
    <numFmt numFmtId="170" formatCode="0.000"/>
    <numFmt numFmtId="171" formatCode="d\.m\.yy"/>
    <numFmt numFmtId="172" formatCode="d/m/yyyy"/>
    <numFmt numFmtId="173" formatCode="0.00_);[Red]\(0.00\)"/>
    <numFmt numFmtId="174" formatCode="_-&quot;R$ &quot;* #,##0.00_-;&quot;-R$ &quot;* #,##0.00_-;_-&quot;R$ &quot;* \-??_-;_-@"/>
    <numFmt numFmtId="175" formatCode="0.0%"/>
    <numFmt numFmtId="176" formatCode="&quot;R$ &quot;#,##0.00_);[Red]&quot;(R$ &quot;#,###.00\)"/>
    <numFmt numFmtId="177" formatCode="0.000000_ "/>
    <numFmt numFmtId="178" formatCode="0.0000000_ "/>
  </numFmts>
  <fonts count="29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i/>
      <sz val="11"/>
      <color rgb="FF000000"/>
      <name val="Calibri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FFFFFF"/>
      <name val="Times New Roman"/>
      <charset val="134"/>
    </font>
    <font>
      <b/>
      <i/>
      <sz val="10"/>
      <color rgb="FFFFFFFF"/>
      <name val="Times New Roman"/>
      <charset val="134"/>
    </font>
    <font>
      <i/>
      <sz val="10"/>
      <color rgb="FF000000"/>
      <name val="Times New Roman"/>
      <charset val="134"/>
    </font>
    <font>
      <sz val="10"/>
      <color rgb="FFFFFFFF"/>
      <name val="Times New Roman"/>
      <charset val="134"/>
    </font>
    <font>
      <b/>
      <i/>
      <sz val="10"/>
      <color rgb="FF000000"/>
      <name val="Times New Roman"/>
      <charset val="134"/>
    </font>
    <font>
      <i/>
      <sz val="10"/>
      <color rgb="FFFFFFFF"/>
      <name val="Times New Roman"/>
      <charset val="134"/>
    </font>
    <font>
      <sz val="10"/>
      <color rgb="FFC9211E"/>
      <name val="Times New Roman"/>
      <charset val="134"/>
    </font>
    <font>
      <b/>
      <sz val="10"/>
      <color rgb="FFFF0000"/>
      <name val="Arial"/>
      <charset val="134"/>
    </font>
    <font>
      <b/>
      <sz val="12"/>
      <color rgb="FF000000"/>
      <name val="Arial"/>
      <charset val="134"/>
    </font>
    <font>
      <sz val="10"/>
      <color rgb="FFFF0000"/>
      <name val="Arial"/>
      <charset val="134"/>
    </font>
    <font>
      <sz val="11"/>
      <color rgb="FF000000"/>
      <name val="Calibri"/>
      <charset val="1"/>
    </font>
    <font>
      <b/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8"/>
      <color rgb="FF0000FF"/>
      <name val="Arial;Arial"/>
      <family val="2"/>
      <charset val="1"/>
    </font>
    <font>
      <b/>
      <sz val="11"/>
      <color rgb="FF000000"/>
      <name val="Calibri"/>
      <charset val="1"/>
    </font>
    <font>
      <sz val="11"/>
      <color rgb="FF800000"/>
      <name val="Calibri"/>
      <charset val="134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CC3E5"/>
        <bgColor rgb="FF9DC3E6"/>
      </patternFill>
    </fill>
    <fill>
      <patternFill patternType="solid">
        <fgColor rgb="FFB4C7E7"/>
        <bgColor rgb="FF9DC3E6"/>
      </patternFill>
    </fill>
    <fill>
      <patternFill patternType="solid">
        <fgColor rgb="FFD9D9D9"/>
        <bgColor rgb="FFDBDBDB"/>
      </patternFill>
    </fill>
    <fill>
      <patternFill patternType="solid">
        <fgColor rgb="FFFFC000"/>
        <bgColor rgb="FFFFFF00"/>
      </patternFill>
    </fill>
    <fill>
      <patternFill patternType="solid">
        <fgColor rgb="FFBFBFBF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FFE599"/>
        <bgColor rgb="FFFBE5D5"/>
      </patternFill>
    </fill>
    <fill>
      <patternFill patternType="solid">
        <fgColor rgb="FF34A853"/>
        <bgColor rgb="FF008080"/>
      </patternFill>
    </fill>
    <fill>
      <patternFill patternType="solid">
        <fgColor rgb="FF00B0F0"/>
        <bgColor rgb="FF008080"/>
      </patternFill>
    </fill>
    <fill>
      <patternFill patternType="solid">
        <fgColor rgb="FFDBDBDB"/>
        <bgColor rgb="FFD9D9D9"/>
      </patternFill>
    </fill>
    <fill>
      <patternFill patternType="solid">
        <fgColor rgb="FF9DC3E6"/>
        <bgColor rgb="FF9CC3E5"/>
      </patternFill>
    </fill>
    <fill>
      <patternFill patternType="solid">
        <fgColor rgb="FF92D050"/>
        <bgColor rgb="FFBFBFBF"/>
      </patternFill>
    </fill>
    <fill>
      <patternFill patternType="solid">
        <fgColor rgb="FFBDD7EE"/>
        <bgColor rgb="FFB4C7E7"/>
      </patternFill>
    </fill>
    <fill>
      <patternFill patternType="solid">
        <fgColor rgb="FFE2EFD9"/>
        <bgColor rgb="FFE2F0D9"/>
      </patternFill>
    </fill>
    <fill>
      <patternFill patternType="solid">
        <fgColor rgb="FF8EAADB"/>
        <bgColor rgb="FF9CC3E5"/>
      </patternFill>
    </fill>
    <fill>
      <patternFill patternType="solid">
        <fgColor rgb="FFE2F0D9"/>
        <bgColor rgb="FFE2EFD9"/>
      </patternFill>
    </fill>
    <fill>
      <patternFill patternType="solid">
        <fgColor rgb="FF008080"/>
        <bgColor rgb="FF008080"/>
      </patternFill>
    </fill>
    <fill>
      <patternFill patternType="solid">
        <fgColor rgb="FFFBE5D5"/>
        <bgColor rgb="FFFBE5D6"/>
      </patternFill>
    </fill>
    <fill>
      <patternFill patternType="solid">
        <fgColor rgb="FFFBE5D6"/>
        <bgColor rgb="FFFBE5D5"/>
      </patternFill>
    </fill>
    <fill>
      <patternFill patternType="solid">
        <fgColor rgb="FFFFFF00"/>
        <bgColor rgb="FFFFC000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8" fontId="7" fillId="0" borderId="0" applyBorder="0" applyProtection="0"/>
  </cellStyleXfs>
  <cellXfs count="26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8" fontId="6" fillId="0" borderId="2" xfId="1" applyFont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left"/>
    </xf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left" vertical="center" wrapText="1"/>
    </xf>
    <xf numFmtId="0" fontId="5" fillId="12" borderId="0" xfId="0" applyFont="1" applyFill="1" applyAlignment="1">
      <alignment horizontal="left" vertical="center" wrapText="1"/>
    </xf>
    <xf numFmtId="0" fontId="5" fillId="14" borderId="0" xfId="0" applyFont="1" applyFill="1" applyAlignment="1">
      <alignment horizontal="left" vertical="center"/>
    </xf>
    <xf numFmtId="0" fontId="5" fillId="13" borderId="0" xfId="0" applyFont="1" applyFill="1" applyAlignment="1">
      <alignment horizontal="left" vertical="center" wrapText="1"/>
    </xf>
    <xf numFmtId="0" fontId="19" fillId="12" borderId="0" xfId="0" applyFont="1" applyFill="1" applyAlignment="1">
      <alignment horizontal="left" vertical="center"/>
    </xf>
    <xf numFmtId="0" fontId="9" fillId="11" borderId="2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right" vertical="center"/>
    </xf>
    <xf numFmtId="4" fontId="10" fillId="10" borderId="2" xfId="0" applyNumberFormat="1" applyFont="1" applyFill="1" applyBorder="1" applyAlignment="1">
      <alignment horizontal="right"/>
    </xf>
    <xf numFmtId="49" fontId="14" fillId="7" borderId="2" xfId="0" applyNumberFormat="1" applyFont="1" applyFill="1" applyBorder="1" applyAlignment="1">
      <alignment horizont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49" fontId="14" fillId="7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 applyAlignment="1">
      <alignment horizontal="center"/>
    </xf>
    <xf numFmtId="165" fontId="6" fillId="0" borderId="2" xfId="0" applyNumberFormat="1" applyFont="1" applyBorder="1"/>
    <xf numFmtId="166" fontId="0" fillId="0" borderId="0" xfId="0" applyNumberFormat="1"/>
    <xf numFmtId="0" fontId="5" fillId="0" borderId="0" xfId="0" applyFont="1" applyAlignment="1">
      <alignment horizontal="right"/>
    </xf>
    <xf numFmtId="167" fontId="5" fillId="0" borderId="0" xfId="0" applyNumberFormat="1" applyFont="1"/>
    <xf numFmtId="0" fontId="5" fillId="4" borderId="0" xfId="0" applyFont="1" applyFill="1"/>
    <xf numFmtId="165" fontId="0" fillId="0" borderId="0" xfId="0" applyNumberFormat="1" applyAlignment="1">
      <alignment vertical="center"/>
    </xf>
    <xf numFmtId="165" fontId="0" fillId="0" borderId="2" xfId="0" applyNumberFormat="1" applyBorder="1" applyAlignment="1">
      <alignment horizontal="justify" vertical="center" wrapText="1"/>
    </xf>
    <xf numFmtId="168" fontId="6" fillId="0" borderId="2" xfId="1" applyFont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8" fontId="6" fillId="2" borderId="2" xfId="1" applyFont="1" applyFill="1" applyBorder="1" applyAlignment="1" applyProtection="1">
      <alignment vertical="center"/>
    </xf>
    <xf numFmtId="167" fontId="0" fillId="2" borderId="2" xfId="0" applyNumberForma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4" fontId="8" fillId="0" borderId="2" xfId="0" applyNumberFormat="1" applyFont="1" applyBorder="1"/>
    <xf numFmtId="169" fontId="0" fillId="0" borderId="0" xfId="0" applyNumberFormat="1" applyAlignment="1">
      <alignment vertical="center"/>
    </xf>
    <xf numFmtId="4" fontId="8" fillId="2" borderId="2" xfId="0" applyNumberFormat="1" applyFont="1" applyFill="1" applyBorder="1"/>
    <xf numFmtId="2" fontId="8" fillId="0" borderId="2" xfId="0" applyNumberFormat="1" applyFont="1" applyBorder="1"/>
    <xf numFmtId="2" fontId="8" fillId="2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vertical="center"/>
    </xf>
    <xf numFmtId="169" fontId="0" fillId="0" borderId="0" xfId="0" applyNumberFormat="1"/>
    <xf numFmtId="49" fontId="10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170" fontId="10" fillId="6" borderId="2" xfId="0" applyNumberFormat="1" applyFont="1" applyFill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70" fontId="12" fillId="2" borderId="2" xfId="0" applyNumberFormat="1" applyFont="1" applyFill="1" applyBorder="1" applyAlignment="1">
      <alignment horizontal="center" vertical="center" wrapText="1"/>
    </xf>
    <xf numFmtId="170" fontId="0" fillId="0" borderId="0" xfId="0" applyNumberFormat="1" applyAlignment="1">
      <alignment vertical="center"/>
    </xf>
    <xf numFmtId="2" fontId="14" fillId="7" borderId="2" xfId="0" applyNumberFormat="1" applyFont="1" applyFill="1" applyBorder="1" applyAlignment="1">
      <alignment horizontal="center" vertical="center" wrapText="1"/>
    </xf>
    <xf numFmtId="170" fontId="11" fillId="7" borderId="2" xfId="0" applyNumberFormat="1" applyFont="1" applyFill="1" applyBorder="1" applyAlignment="1">
      <alignment horizontal="center" vertical="center" wrapText="1"/>
    </xf>
    <xf numFmtId="49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2" fontId="11" fillId="8" borderId="2" xfId="0" applyNumberFormat="1" applyFont="1" applyFill="1" applyBorder="1" applyAlignment="1">
      <alignment horizontal="center" vertical="center" wrapText="1"/>
    </xf>
    <xf numFmtId="170" fontId="11" fillId="8" borderId="2" xfId="0" applyNumberFormat="1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170" fontId="11" fillId="6" borderId="2" xfId="0" applyNumberFormat="1" applyFont="1" applyFill="1" applyBorder="1" applyAlignment="1">
      <alignment horizontal="center" vertical="center" wrapText="1"/>
    </xf>
    <xf numFmtId="170" fontId="10" fillId="7" borderId="2" xfId="0" applyNumberFormat="1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49" fontId="11" fillId="8" borderId="3" xfId="0" applyNumberFormat="1" applyFont="1" applyFill="1" applyBorder="1" applyAlignment="1">
      <alignment horizontal="center" wrapText="1"/>
    </xf>
    <xf numFmtId="0" fontId="11" fillId="8" borderId="4" xfId="0" applyFont="1" applyFill="1" applyBorder="1" applyAlignment="1">
      <alignment wrapText="1"/>
    </xf>
    <xf numFmtId="2" fontId="14" fillId="9" borderId="4" xfId="0" applyNumberFormat="1" applyFont="1" applyFill="1" applyBorder="1" applyAlignment="1">
      <alignment horizontal="center" wrapText="1"/>
    </xf>
    <xf numFmtId="2" fontId="11" fillId="8" borderId="4" xfId="0" applyNumberFormat="1" applyFont="1" applyFill="1" applyBorder="1" applyAlignment="1">
      <alignment horizontal="center" wrapText="1"/>
    </xf>
    <xf numFmtId="170" fontId="11" fillId="8" borderId="4" xfId="0" applyNumberFormat="1" applyFont="1" applyFill="1" applyBorder="1" applyAlignment="1">
      <alignment horizontal="center" wrapText="1"/>
    </xf>
    <xf numFmtId="0" fontId="11" fillId="6" borderId="4" xfId="0" applyFont="1" applyFill="1" applyBorder="1" applyAlignment="1">
      <alignment wrapText="1"/>
    </xf>
    <xf numFmtId="2" fontId="14" fillId="6" borderId="4" xfId="0" applyNumberFormat="1" applyFont="1" applyFill="1" applyBorder="1" applyAlignment="1">
      <alignment horizontal="center" wrapText="1"/>
    </xf>
    <xf numFmtId="2" fontId="11" fillId="6" borderId="4" xfId="0" applyNumberFormat="1" applyFont="1" applyFill="1" applyBorder="1" applyAlignment="1">
      <alignment horizontal="center" wrapText="1"/>
    </xf>
    <xf numFmtId="170" fontId="11" fillId="6" borderId="4" xfId="0" applyNumberFormat="1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left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 wrapText="1"/>
    </xf>
    <xf numFmtId="170" fontId="11" fillId="6" borderId="5" xfId="0" applyNumberFormat="1" applyFont="1" applyFill="1" applyBorder="1" applyAlignment="1">
      <alignment horizontal="center" vertical="center" wrapText="1"/>
    </xf>
    <xf numFmtId="2" fontId="14" fillId="7" borderId="5" xfId="0" applyNumberFormat="1" applyFont="1" applyFill="1" applyBorder="1" applyAlignment="1">
      <alignment horizontal="center" wrapText="1"/>
    </xf>
    <xf numFmtId="170" fontId="10" fillId="7" borderId="5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49" fontId="11" fillId="8" borderId="2" xfId="0" applyNumberFormat="1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2" fontId="16" fillId="6" borderId="2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171" fontId="11" fillId="0" borderId="0" xfId="0" applyNumberFormat="1" applyFont="1" applyAlignment="1">
      <alignment horizont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9" fontId="11" fillId="6" borderId="6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center" vertical="center" wrapText="1"/>
    </xf>
    <xf numFmtId="2" fontId="11" fillId="6" borderId="6" xfId="0" applyNumberFormat="1" applyFont="1" applyFill="1" applyBorder="1" applyAlignment="1">
      <alignment horizontal="center" vertical="center" wrapText="1"/>
    </xf>
    <xf numFmtId="170" fontId="11" fillId="6" borderId="6" xfId="0" applyNumberFormat="1" applyFont="1" applyFill="1" applyBorder="1" applyAlignment="1">
      <alignment horizontal="center" vertical="center" wrapText="1"/>
    </xf>
    <xf numFmtId="170" fontId="10" fillId="10" borderId="2" xfId="0" applyNumberFormat="1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vertical="center"/>
    </xf>
    <xf numFmtId="2" fontId="5" fillId="11" borderId="2" xfId="0" applyNumberFormat="1" applyFont="1" applyFill="1" applyBorder="1" applyAlignment="1">
      <alignment vertical="center"/>
    </xf>
    <xf numFmtId="0" fontId="19" fillId="8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8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17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173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center"/>
    </xf>
    <xf numFmtId="174" fontId="9" fillId="16" borderId="2" xfId="0" applyNumberFormat="1" applyFont="1" applyFill="1" applyBorder="1"/>
    <xf numFmtId="173" fontId="8" fillId="0" borderId="2" xfId="0" applyNumberFormat="1" applyFont="1" applyBorder="1"/>
    <xf numFmtId="10" fontId="9" fillId="16" borderId="2" xfId="0" applyNumberFormat="1" applyFont="1" applyFill="1" applyBorder="1" applyAlignment="1">
      <alignment horizontal="center"/>
    </xf>
    <xf numFmtId="174" fontId="9" fillId="17" borderId="2" xfId="0" applyNumberFormat="1" applyFont="1" applyFill="1" applyBorder="1" applyAlignment="1">
      <alignment horizontal="right"/>
    </xf>
    <xf numFmtId="174" fontId="20" fillId="17" borderId="2" xfId="0" applyNumberFormat="1" applyFont="1" applyFill="1" applyBorder="1" applyAlignment="1">
      <alignment horizontal="right"/>
    </xf>
    <xf numFmtId="174" fontId="8" fillId="0" borderId="2" xfId="0" applyNumberFormat="1" applyFont="1" applyBorder="1" applyAlignment="1">
      <alignment horizontal="center"/>
    </xf>
    <xf numFmtId="0" fontId="9" fillId="18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10" fontId="9" fillId="8" borderId="2" xfId="0" applyNumberFormat="1" applyFont="1" applyFill="1" applyBorder="1" applyAlignment="1">
      <alignment horizontal="center"/>
    </xf>
    <xf numFmtId="10" fontId="8" fillId="0" borderId="2" xfId="0" applyNumberFormat="1" applyFont="1" applyBorder="1"/>
    <xf numFmtId="173" fontId="8" fillId="0" borderId="2" xfId="0" applyNumberFormat="1" applyFont="1" applyBorder="1" applyAlignment="1">
      <alignment horizontal="center"/>
    </xf>
    <xf numFmtId="175" fontId="8" fillId="0" borderId="2" xfId="0" applyNumberFormat="1" applyFont="1" applyBorder="1"/>
    <xf numFmtId="9" fontId="8" fillId="0" borderId="2" xfId="0" applyNumberFormat="1" applyFont="1" applyBorder="1"/>
    <xf numFmtId="10" fontId="9" fillId="16" borderId="2" xfId="0" applyNumberFormat="1" applyFont="1" applyFill="1" applyBorder="1"/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left"/>
    </xf>
    <xf numFmtId="10" fontId="19" fillId="0" borderId="0" xfId="0" applyNumberFormat="1" applyFont="1"/>
    <xf numFmtId="2" fontId="19" fillId="0" borderId="12" xfId="0" applyNumberFormat="1" applyFont="1" applyBorder="1"/>
    <xf numFmtId="0" fontId="21" fillId="0" borderId="11" xfId="0" applyFont="1" applyBorder="1"/>
    <xf numFmtId="0" fontId="21" fillId="0" borderId="0" xfId="0" applyFont="1"/>
    <xf numFmtId="0" fontId="21" fillId="0" borderId="12" xfId="0" applyFont="1" applyBorder="1"/>
    <xf numFmtId="0" fontId="19" fillId="0" borderId="11" xfId="0" applyFont="1" applyBorder="1"/>
    <xf numFmtId="0" fontId="19" fillId="0" borderId="0" xfId="0" applyFont="1"/>
    <xf numFmtId="0" fontId="19" fillId="0" borderId="12" xfId="0" applyFont="1" applyBorder="1"/>
    <xf numFmtId="169" fontId="9" fillId="18" borderId="2" xfId="0" applyNumberFormat="1" applyFont="1" applyFill="1" applyBorder="1" applyAlignment="1">
      <alignment horizontal="center"/>
    </xf>
    <xf numFmtId="169" fontId="22" fillId="0" borderId="2" xfId="0" applyNumberFormat="1" applyFont="1" applyBorder="1"/>
    <xf numFmtId="0" fontId="8" fillId="0" borderId="0" xfId="0" applyFont="1"/>
    <xf numFmtId="176" fontId="8" fillId="0" borderId="2" xfId="0" applyNumberFormat="1" applyFont="1" applyBorder="1" applyAlignment="1">
      <alignment horizontal="center"/>
    </xf>
    <xf numFmtId="2" fontId="9" fillId="16" borderId="2" xfId="0" applyNumberFormat="1" applyFont="1" applyFill="1" applyBorder="1"/>
    <xf numFmtId="177" fontId="0" fillId="0" borderId="0" xfId="0" applyNumberFormat="1"/>
    <xf numFmtId="0" fontId="9" fillId="0" borderId="2" xfId="0" applyFont="1" applyBorder="1" applyAlignment="1">
      <alignment horizontal="center" vertical="top"/>
    </xf>
    <xf numFmtId="178" fontId="0" fillId="0" borderId="0" xfId="0" applyNumberFormat="1"/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9" fillId="0" borderId="12" xfId="0" applyNumberFormat="1" applyFont="1" applyBorder="1"/>
    <xf numFmtId="0" fontId="1" fillId="0" borderId="0" xfId="0" applyFont="1" applyAlignment="1">
      <alignment horizontal="center" vertical="center"/>
    </xf>
    <xf numFmtId="0" fontId="23" fillId="19" borderId="0" xfId="0" applyFont="1" applyFill="1"/>
    <xf numFmtId="0" fontId="0" fillId="19" borderId="0" xfId="0" applyFill="1"/>
    <xf numFmtId="0" fontId="9" fillId="0" borderId="11" xfId="0" applyFont="1" applyBorder="1" applyAlignment="1">
      <alignment horizontal="center"/>
    </xf>
    <xf numFmtId="0" fontId="7" fillId="0" borderId="0" xfId="0" applyFont="1"/>
    <xf numFmtId="10" fontId="9" fillId="0" borderId="0" xfId="0" applyNumberFormat="1" applyFont="1"/>
    <xf numFmtId="174" fontId="9" fillId="0" borderId="12" xfId="0" applyNumberFormat="1" applyFont="1" applyBorder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20" borderId="2" xfId="0" applyFont="1" applyFill="1" applyBorder="1" applyAlignment="1">
      <alignment horizontal="center" vertical="center" wrapText="1"/>
    </xf>
    <xf numFmtId="0" fontId="24" fillId="20" borderId="2" xfId="0" applyFont="1" applyFill="1" applyBorder="1" applyAlignment="1">
      <alignment horizontal="center" vertical="center"/>
    </xf>
    <xf numFmtId="176" fontId="24" fillId="20" borderId="2" xfId="0" applyNumberFormat="1" applyFont="1" applyFill="1" applyBorder="1" applyAlignment="1">
      <alignment horizontal="center" vertical="center" wrapText="1"/>
    </xf>
    <xf numFmtId="176" fontId="24" fillId="2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4" fontId="24" fillId="2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/>
    <xf numFmtId="0" fontId="0" fillId="7" borderId="0" xfId="0" applyFill="1"/>
    <xf numFmtId="176" fontId="0" fillId="0" borderId="2" xfId="0" applyNumberForma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left"/>
    </xf>
    <xf numFmtId="176" fontId="0" fillId="8" borderId="0" xfId="0" applyNumberFormat="1" applyFill="1"/>
    <xf numFmtId="0" fontId="0" fillId="0" borderId="2" xfId="0" applyBorder="1" applyAlignment="1">
      <alignment horizontal="left" wrapText="1"/>
    </xf>
    <xf numFmtId="176" fontId="0" fillId="0" borderId="2" xfId="0" applyNumberFormat="1" applyBorder="1" applyAlignment="1">
      <alignment vertical="center"/>
    </xf>
    <xf numFmtId="174" fontId="24" fillId="8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/>
    <xf numFmtId="176" fontId="28" fillId="0" borderId="0" xfId="0" applyNumberFormat="1" applyFont="1"/>
    <xf numFmtId="0" fontId="0" fillId="22" borderId="0" xfId="0" applyFill="1"/>
    <xf numFmtId="0" fontId="24" fillId="20" borderId="2" xfId="0" applyFont="1" applyFill="1" applyBorder="1" applyAlignment="1">
      <alignment horizontal="center" wrapText="1"/>
    </xf>
    <xf numFmtId="176" fontId="24" fillId="20" borderId="2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176" fontId="0" fillId="0" borderId="2" xfId="0" applyNumberFormat="1" applyBorder="1" applyAlignment="1">
      <alignment horizontal="center"/>
    </xf>
    <xf numFmtId="176" fontId="24" fillId="20" borderId="2" xfId="0" applyNumberFormat="1" applyFont="1" applyFill="1" applyBorder="1" applyAlignment="1">
      <alignment wrapText="1"/>
    </xf>
    <xf numFmtId="0" fontId="24" fillId="20" borderId="2" xfId="0" applyFont="1" applyFill="1" applyBorder="1" applyAlignment="1">
      <alignment wrapText="1"/>
    </xf>
    <xf numFmtId="174" fontId="24" fillId="20" borderId="2" xfId="0" applyNumberFormat="1" applyFont="1" applyFill="1" applyBorder="1" applyAlignment="1">
      <alignment wrapText="1"/>
    </xf>
    <xf numFmtId="0" fontId="24" fillId="20" borderId="2" xfId="0" applyFont="1" applyFill="1" applyBorder="1"/>
    <xf numFmtId="174" fontId="24" fillId="20" borderId="2" xfId="0" applyNumberFormat="1" applyFont="1" applyFill="1" applyBorder="1"/>
    <xf numFmtId="169" fontId="24" fillId="20" borderId="2" xfId="0" applyNumberFormat="1" applyFont="1" applyFill="1" applyBorder="1"/>
    <xf numFmtId="176" fontId="24" fillId="21" borderId="0" xfId="0" applyNumberFormat="1" applyFont="1" applyFill="1"/>
    <xf numFmtId="174" fontId="24" fillId="20" borderId="2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4" fontId="24" fillId="20" borderId="6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76" fontId="24" fillId="20" borderId="3" xfId="0" applyNumberFormat="1" applyFont="1" applyFill="1" applyBorder="1" applyAlignment="1">
      <alignment vertical="center"/>
    </xf>
    <xf numFmtId="176" fontId="24" fillId="2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/>
    <xf numFmtId="0" fontId="9" fillId="17" borderId="9" xfId="0" applyFont="1" applyFill="1" applyBorder="1" applyAlignment="1">
      <alignment horizontal="center" vertical="center" wrapText="1"/>
    </xf>
    <xf numFmtId="0" fontId="9" fillId="17" borderId="9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0" fontId="8" fillId="8" borderId="2" xfId="0" applyFont="1" applyFill="1" applyBorder="1"/>
    <xf numFmtId="0" fontId="9" fillId="17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9" fillId="17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9" fillId="18" borderId="2" xfId="0" applyFont="1" applyFill="1" applyBorder="1" applyAlignment="1">
      <alignment horizontal="center" wrapText="1"/>
    </xf>
    <xf numFmtId="0" fontId="9" fillId="18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169" fontId="22" fillId="0" borderId="2" xfId="0" applyNumberFormat="1" applyFont="1" applyBorder="1" applyAlignment="1">
      <alignment horizontal="center"/>
    </xf>
    <xf numFmtId="0" fontId="8" fillId="0" borderId="12" xfId="0" applyFont="1" applyBorder="1"/>
    <xf numFmtId="0" fontId="24" fillId="20" borderId="2" xfId="0" applyFont="1" applyFill="1" applyBorder="1" applyAlignment="1">
      <alignment horizontal="center" vertical="center" wrapText="1"/>
    </xf>
    <xf numFmtId="0" fontId="24" fillId="20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4" fillId="20" borderId="2" xfId="0" applyFont="1" applyFill="1" applyBorder="1" applyAlignment="1">
      <alignment horizontal="center" wrapText="1"/>
    </xf>
    <xf numFmtId="0" fontId="24" fillId="20" borderId="2" xfId="0" applyFont="1" applyFill="1" applyBorder="1" applyAlignment="1">
      <alignment horizontal="right" vertical="center"/>
    </xf>
    <xf numFmtId="0" fontId="24" fillId="20" borderId="6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20" borderId="3" xfId="0" applyFont="1" applyFill="1" applyBorder="1" applyAlignment="1">
      <alignment horizontal="right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8EAADB"/>
      <rgbColor rgb="FF993366"/>
      <rgbColor rgb="FFFFFFCC"/>
      <rgbColor rgb="FFE2F0D9"/>
      <rgbColor rgb="FF660066"/>
      <rgbColor rgb="FFDBDBDB"/>
      <rgbColor rgb="FF0066CC"/>
      <rgbColor rgb="FFBDD7EE"/>
      <rgbColor rgb="FF000080"/>
      <rgbColor rgb="FFFF00FF"/>
      <rgbColor rgb="FFFBE5D5"/>
      <rgbColor rgb="FF00FFFF"/>
      <rgbColor rgb="FF800080"/>
      <rgbColor rgb="FFCC0000"/>
      <rgbColor rgb="FF008080"/>
      <rgbColor rgb="FF0000FF"/>
      <rgbColor rgb="FF00B0F0"/>
      <rgbColor rgb="FFE2EFD9"/>
      <rgbColor rgb="FFCCFFCC"/>
      <rgbColor rgb="FFFFE599"/>
      <rgbColor rgb="FF9DC3E6"/>
      <rgbColor rgb="FFD9D9D9"/>
      <rgbColor rgb="FFB4C7E7"/>
      <rgbColor rgb="FFFFCCCC"/>
      <rgbColor rgb="FF3366FF"/>
      <rgbColor rgb="FFFBE5D6"/>
      <rgbColor rgb="FF92D050"/>
      <rgbColor rgb="FFFFC000"/>
      <rgbColor rgb="FFDDDDDD"/>
      <rgbColor rgb="FFFF6600"/>
      <rgbColor rgb="FF666699"/>
      <rgbColor rgb="FF9CC3E5"/>
      <rgbColor rgb="FF003366"/>
      <rgbColor rgb="FF34A85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view="pageBreakPreview" zoomScale="80" zoomScaleNormal="100" zoomScalePageLayoutView="80" workbookViewId="0">
      <selection activeCell="A7" sqref="A7"/>
    </sheetView>
  </sheetViews>
  <sheetFormatPr defaultRowHeight="14.4"/>
  <cols>
    <col min="1" max="1" width="6.109375" customWidth="1"/>
    <col min="2" max="2" width="50.33203125" customWidth="1"/>
    <col min="3" max="4" width="14.44140625" customWidth="1"/>
    <col min="5" max="5" width="16" customWidth="1"/>
    <col min="6" max="6" width="20.77734375" customWidth="1"/>
    <col min="7" max="1025" width="14.44140625" customWidth="1"/>
  </cols>
  <sheetData>
    <row r="1" spans="1:6" ht="15" customHeight="1">
      <c r="A1" s="14" t="s">
        <v>0</v>
      </c>
      <c r="B1" s="14"/>
      <c r="C1" s="14"/>
      <c r="D1" s="14"/>
      <c r="E1" s="14"/>
      <c r="F1" s="14"/>
    </row>
    <row r="2" spans="1:6" ht="24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spans="1:6" ht="45.75" customHeight="1">
      <c r="A3" s="32">
        <v>1</v>
      </c>
      <c r="B3" s="33" t="s">
        <v>7</v>
      </c>
      <c r="C3" s="32" t="s">
        <v>8</v>
      </c>
      <c r="D3" s="32">
        <v>6</v>
      </c>
      <c r="E3" s="34">
        <f>PRODUTIVIDADE!G109</f>
        <v>217392.29</v>
      </c>
      <c r="F3" s="34">
        <f>PRODUTIVIDADE!G110</f>
        <v>1304353.74</v>
      </c>
    </row>
    <row r="4" spans="1:6" ht="35.25" customHeight="1">
      <c r="A4" s="32">
        <v>2</v>
      </c>
      <c r="B4" s="33" t="s">
        <v>9</v>
      </c>
      <c r="C4" s="32" t="s">
        <v>8</v>
      </c>
      <c r="D4" s="32">
        <v>6</v>
      </c>
      <c r="E4" s="34">
        <f>'OPERADOR DE ROÇADEIRA'!I140</f>
        <v>16763.43</v>
      </c>
      <c r="F4" s="34">
        <f>E4*6</f>
        <v>100580.58</v>
      </c>
    </row>
    <row r="5" spans="1:6" ht="13.5" customHeight="1">
      <c r="A5" s="13" t="s">
        <v>619</v>
      </c>
      <c r="B5" s="13"/>
      <c r="C5" s="13"/>
      <c r="D5" s="13"/>
      <c r="E5" s="12">
        <f>SUM(E3,E4)</f>
        <v>234155.72</v>
      </c>
      <c r="F5" s="12"/>
    </row>
    <row r="6" spans="1:6" ht="21" customHeight="1">
      <c r="A6" s="13" t="s">
        <v>620</v>
      </c>
      <c r="B6" s="13"/>
      <c r="C6" s="13"/>
      <c r="D6" s="13"/>
      <c r="E6" s="12">
        <f>SUM(F3,F4)</f>
        <v>1404934.32</v>
      </c>
      <c r="F6" s="12"/>
    </row>
    <row r="7" spans="1:6" ht="21.75" customHeight="1">
      <c r="B7" s="35"/>
    </row>
    <row r="8" spans="1:6" ht="44.25" customHeight="1">
      <c r="A8" s="11" t="s">
        <v>12</v>
      </c>
      <c r="B8" s="11"/>
      <c r="C8" s="11"/>
      <c r="D8" s="11"/>
      <c r="E8" s="11"/>
      <c r="F8" s="11"/>
    </row>
    <row r="10" spans="1:6" ht="57.75" customHeight="1"/>
  </sheetData>
  <mergeCells count="6">
    <mergeCell ref="A8:F8"/>
    <mergeCell ref="A1:F1"/>
    <mergeCell ref="A5:D5"/>
    <mergeCell ref="E5:F5"/>
    <mergeCell ref="A6:D6"/>
    <mergeCell ref="E6:F6"/>
  </mergeCells>
  <pageMargins left="0.23611111111111099" right="0.23611111111111099" top="1.05277777777778" bottom="1.05277777777778" header="0" footer="0"/>
  <pageSetup paperSize="9" scale="85" firstPageNumber="0" orientation="landscape" horizontalDpi="300" verticalDpi="300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I351"/>
  <sheetViews>
    <sheetView view="pageBreakPreview" zoomScale="80" zoomScaleNormal="100" zoomScalePageLayoutView="80" workbookViewId="0">
      <selection activeCell="G1" sqref="G1"/>
    </sheetView>
  </sheetViews>
  <sheetFormatPr defaultRowHeight="14.4"/>
  <cols>
    <col min="1" max="1" width="6.109375" style="36" customWidth="1"/>
    <col min="2" max="2" width="41.109375" style="36" customWidth="1"/>
    <col min="3" max="3" width="15.33203125" style="36" customWidth="1"/>
    <col min="4" max="4" width="22.88671875" style="36" customWidth="1"/>
    <col min="5" max="5" width="21" style="36" customWidth="1"/>
    <col min="6" max="6" width="23.88671875" style="36" customWidth="1"/>
    <col min="7" max="8" width="21" style="36" customWidth="1"/>
    <col min="9" max="9" width="16.33203125" style="36" customWidth="1"/>
    <col min="10" max="10" width="27.5546875" style="36" customWidth="1"/>
    <col min="11" max="11" width="22.6640625" style="36" customWidth="1"/>
    <col min="12" max="12" width="13.33203125" style="36" customWidth="1"/>
    <col min="13" max="255" width="10.33203125" style="36" customWidth="1"/>
    <col min="256" max="256" width="3.109375" style="36" customWidth="1"/>
    <col min="257" max="257" width="30.88671875" style="36" customWidth="1"/>
    <col min="258" max="258" width="36.44140625" style="36" customWidth="1"/>
    <col min="259" max="263" width="21" style="36" customWidth="1"/>
    <col min="264" max="264" width="14.109375" style="36" customWidth="1"/>
    <col min="265" max="265" width="16.33203125" style="36" customWidth="1"/>
    <col min="266" max="511" width="10.33203125" style="36" customWidth="1"/>
    <col min="512" max="512" width="3.109375" style="36" customWidth="1"/>
    <col min="513" max="513" width="30.88671875" style="36" customWidth="1"/>
    <col min="514" max="514" width="36.44140625" style="36" customWidth="1"/>
    <col min="515" max="519" width="21" style="36" customWidth="1"/>
    <col min="520" max="520" width="14.109375" style="36" customWidth="1"/>
    <col min="521" max="521" width="16.33203125" style="36" customWidth="1"/>
    <col min="522" max="767" width="10.33203125" style="36" customWidth="1"/>
    <col min="768" max="768" width="3.109375" style="36" customWidth="1"/>
    <col min="769" max="769" width="30.88671875" style="36" customWidth="1"/>
    <col min="770" max="770" width="36.44140625" style="36" customWidth="1"/>
    <col min="771" max="775" width="21" style="36" customWidth="1"/>
    <col min="776" max="776" width="14.109375" style="36" customWidth="1"/>
    <col min="777" max="777" width="16.33203125" style="36" customWidth="1"/>
    <col min="778" max="1023" width="10.33203125" style="36" customWidth="1"/>
    <col min="1024" max="1025" width="10.33203125" customWidth="1"/>
  </cols>
  <sheetData>
    <row r="2" spans="1:11" ht="12.75" customHeight="1">
      <c r="A2" s="10" t="s">
        <v>13</v>
      </c>
      <c r="B2" s="10"/>
      <c r="C2" s="10"/>
      <c r="D2" s="10"/>
      <c r="E2" s="10"/>
      <c r="F2" s="10"/>
      <c r="G2" s="38"/>
      <c r="H2" s="38"/>
    </row>
    <row r="4" spans="1:11">
      <c r="A4" s="9" t="s">
        <v>14</v>
      </c>
      <c r="B4" s="9"/>
      <c r="C4" s="39"/>
      <c r="D4" s="39"/>
      <c r="E4" s="39"/>
      <c r="F4" s="39"/>
      <c r="G4"/>
      <c r="H4"/>
      <c r="I4"/>
      <c r="J4"/>
    </row>
    <row r="5" spans="1:11">
      <c r="B5" s="40"/>
      <c r="C5"/>
      <c r="D5"/>
      <c r="E5"/>
      <c r="F5"/>
      <c r="G5"/>
      <c r="H5"/>
      <c r="I5"/>
      <c r="J5"/>
    </row>
    <row r="6" spans="1:11" ht="15" customHeight="1">
      <c r="B6" s="40" t="s">
        <v>15</v>
      </c>
      <c r="C6"/>
      <c r="D6"/>
      <c r="E6"/>
      <c r="F6"/>
      <c r="G6"/>
      <c r="H6"/>
      <c r="I6"/>
      <c r="J6"/>
    </row>
    <row r="7" spans="1:11" s="36" customFormat="1" ht="38.25" customHeight="1">
      <c r="B7" s="41" t="s">
        <v>16</v>
      </c>
      <c r="C7" s="8" t="s">
        <v>17</v>
      </c>
      <c r="D7" s="8"/>
      <c r="E7" s="41" t="s">
        <v>18</v>
      </c>
      <c r="F7" s="41" t="s">
        <v>19</v>
      </c>
      <c r="G7"/>
      <c r="H7"/>
      <c r="I7"/>
      <c r="J7"/>
      <c r="K7"/>
    </row>
    <row r="8" spans="1:11" s="36" customFormat="1" ht="14.25" customHeight="1">
      <c r="B8" s="7" t="s">
        <v>20</v>
      </c>
      <c r="C8" s="6">
        <v>1</v>
      </c>
      <c r="D8" s="6"/>
      <c r="E8" s="5">
        <f>ENCARREGADO!I138</f>
        <v>5338.69</v>
      </c>
      <c r="F8" s="5">
        <f>ROUND(E8/(30*1200),2)</f>
        <v>0.15</v>
      </c>
      <c r="G8"/>
      <c r="H8"/>
      <c r="I8"/>
      <c r="J8"/>
      <c r="K8"/>
    </row>
    <row r="9" spans="1:11" s="36" customFormat="1" ht="10.5" customHeight="1">
      <c r="B9" s="7"/>
      <c r="C9" s="6" t="s">
        <v>21</v>
      </c>
      <c r="D9" s="6"/>
      <c r="E9" s="5"/>
      <c r="F9" s="5"/>
      <c r="G9"/>
      <c r="H9"/>
      <c r="I9"/>
      <c r="J9"/>
      <c r="K9"/>
    </row>
    <row r="10" spans="1:11" s="36" customFormat="1">
      <c r="B10" s="43" t="s">
        <v>22</v>
      </c>
      <c r="C10" s="44">
        <v>1200</v>
      </c>
      <c r="D10" s="44">
        <f>1/1200</f>
        <v>8.3333333333333339E-4</v>
      </c>
      <c r="E10" s="43">
        <f>'SERV. INTERNO - PISOS '!I139</f>
        <v>5282.7224999999999</v>
      </c>
      <c r="F10" s="45">
        <f>ROUND(D10*E10,2)</f>
        <v>4.4000000000000004</v>
      </c>
      <c r="G10"/>
      <c r="H10" s="46"/>
      <c r="I10"/>
      <c r="J10"/>
      <c r="K10"/>
    </row>
    <row r="11" spans="1:11" s="36" customFormat="1">
      <c r="B11"/>
      <c r="C11"/>
      <c r="D11"/>
      <c r="E11"/>
      <c r="F11"/>
      <c r="G11"/>
      <c r="H11"/>
      <c r="I11"/>
      <c r="J11"/>
      <c r="K11"/>
    </row>
    <row r="12" spans="1:11" s="36" customFormat="1">
      <c r="B12" s="40" t="s">
        <v>23</v>
      </c>
      <c r="C12"/>
      <c r="D12"/>
      <c r="E12"/>
      <c r="F12"/>
      <c r="G12"/>
      <c r="H12"/>
      <c r="I12"/>
      <c r="J12"/>
      <c r="K12"/>
    </row>
    <row r="13" spans="1:11" s="36" customFormat="1" ht="38.25" customHeight="1">
      <c r="B13" s="41" t="s">
        <v>16</v>
      </c>
      <c r="C13" s="8" t="s">
        <v>17</v>
      </c>
      <c r="D13" s="8"/>
      <c r="E13" s="41" t="s">
        <v>18</v>
      </c>
      <c r="F13" s="41" t="s">
        <v>19</v>
      </c>
      <c r="G13"/>
      <c r="H13"/>
      <c r="I13"/>
      <c r="J13"/>
      <c r="K13"/>
    </row>
    <row r="14" spans="1:11" s="36" customFormat="1" ht="14.25" customHeight="1">
      <c r="B14" s="7" t="s">
        <v>20</v>
      </c>
      <c r="C14" s="6">
        <v>1</v>
      </c>
      <c r="D14" s="6"/>
      <c r="E14" s="5">
        <f>ENCARREGADO!I138</f>
        <v>5338.69</v>
      </c>
      <c r="F14" s="5">
        <f>ROUND(E14/(30*450),2)</f>
        <v>0.4</v>
      </c>
      <c r="G14"/>
      <c r="H14"/>
      <c r="I14"/>
      <c r="J14"/>
      <c r="K14"/>
    </row>
    <row r="15" spans="1:11" s="36" customFormat="1" ht="14.25" customHeight="1">
      <c r="B15" s="7"/>
      <c r="C15" s="6" t="s">
        <v>24</v>
      </c>
      <c r="D15" s="6"/>
      <c r="E15" s="5"/>
      <c r="F15" s="5"/>
      <c r="G15"/>
      <c r="H15"/>
      <c r="I15"/>
      <c r="J15"/>
      <c r="K15"/>
    </row>
    <row r="16" spans="1:11" s="36" customFormat="1">
      <c r="B16" s="43" t="s">
        <v>25</v>
      </c>
      <c r="C16" s="44">
        <v>450</v>
      </c>
      <c r="D16" s="44">
        <f>1/450</f>
        <v>2.2222222222222222E-3</v>
      </c>
      <c r="E16" s="43">
        <f>'SERV. INTERNO LABORATORIOS 20%'!I139</f>
        <v>6037.99</v>
      </c>
      <c r="F16" s="45">
        <f>ROUND(D16*E16,2)</f>
        <v>13.42</v>
      </c>
      <c r="G16"/>
      <c r="H16"/>
      <c r="I16"/>
      <c r="J16"/>
      <c r="K16"/>
    </row>
    <row r="17" spans="2:11" s="36" customFormat="1">
      <c r="B17"/>
      <c r="C17"/>
      <c r="D17"/>
      <c r="E17"/>
      <c r="F17"/>
      <c r="G17"/>
      <c r="H17"/>
      <c r="I17"/>
      <c r="J17"/>
      <c r="K17"/>
    </row>
    <row r="18" spans="2:11" s="36" customFormat="1">
      <c r="B18" s="40" t="s">
        <v>26</v>
      </c>
      <c r="C18"/>
      <c r="D18"/>
      <c r="E18"/>
      <c r="F18"/>
      <c r="G18"/>
      <c r="H18"/>
      <c r="I18"/>
      <c r="J18"/>
      <c r="K18"/>
    </row>
    <row r="19" spans="2:11" s="36" customFormat="1" ht="38.25" customHeight="1">
      <c r="B19" s="41" t="s">
        <v>16</v>
      </c>
      <c r="C19" s="8" t="s">
        <v>17</v>
      </c>
      <c r="D19" s="8"/>
      <c r="E19" s="41" t="s">
        <v>18</v>
      </c>
      <c r="F19" s="41" t="s">
        <v>19</v>
      </c>
      <c r="G19"/>
      <c r="H19"/>
      <c r="I19"/>
      <c r="J19"/>
      <c r="K19"/>
    </row>
    <row r="20" spans="2:11" s="36" customFormat="1" ht="14.25" customHeight="1">
      <c r="B20" s="7" t="s">
        <v>20</v>
      </c>
      <c r="C20" s="6">
        <v>1</v>
      </c>
      <c r="D20" s="6"/>
      <c r="E20" s="5">
        <f>ENCARREGADO!I138</f>
        <v>5338.69</v>
      </c>
      <c r="F20" s="5">
        <f>ROUND(E20/(30*1500),2)</f>
        <v>0.12</v>
      </c>
      <c r="G20"/>
      <c r="H20"/>
      <c r="I20"/>
      <c r="J20"/>
      <c r="K20"/>
    </row>
    <row r="21" spans="2:11" s="36" customFormat="1" ht="14.25" customHeight="1">
      <c r="B21" s="7"/>
      <c r="C21" s="6" t="s">
        <v>27</v>
      </c>
      <c r="D21" s="6"/>
      <c r="E21" s="5"/>
      <c r="F21" s="5"/>
      <c r="G21"/>
      <c r="H21"/>
      <c r="I21"/>
      <c r="J21"/>
      <c r="K21"/>
    </row>
    <row r="22" spans="2:11" s="36" customFormat="1">
      <c r="B22" s="43" t="s">
        <v>22</v>
      </c>
      <c r="C22" s="44">
        <v>1500</v>
      </c>
      <c r="D22" s="44">
        <f>1/1500</f>
        <v>6.6666666666666664E-4</v>
      </c>
      <c r="E22" s="43">
        <f>'SERV. INTERNO - ALMOXARIFADO'!I139</f>
        <v>5282.7224999999999</v>
      </c>
      <c r="F22" s="45">
        <f>ROUND(D22*E22,2)</f>
        <v>3.52</v>
      </c>
      <c r="G22"/>
      <c r="H22"/>
      <c r="I22"/>
      <c r="J22"/>
      <c r="K22"/>
    </row>
    <row r="23" spans="2:11" s="36" customFormat="1">
      <c r="B23"/>
      <c r="C23"/>
      <c r="D23"/>
      <c r="E23"/>
      <c r="F23"/>
      <c r="G23"/>
      <c r="H23"/>
      <c r="I23"/>
      <c r="J23"/>
      <c r="K23"/>
    </row>
    <row r="24" spans="2:11" s="36" customFormat="1">
      <c r="B24" s="40" t="s">
        <v>28</v>
      </c>
      <c r="C24"/>
      <c r="D24"/>
      <c r="E24"/>
      <c r="F24"/>
      <c r="G24"/>
      <c r="H24"/>
      <c r="I24"/>
      <c r="J24"/>
      <c r="K24"/>
    </row>
    <row r="25" spans="2:11" s="36" customFormat="1" ht="38.25" customHeight="1">
      <c r="B25" s="41" t="s">
        <v>16</v>
      </c>
      <c r="C25" s="8" t="s">
        <v>17</v>
      </c>
      <c r="D25" s="8"/>
      <c r="E25" s="41" t="s">
        <v>18</v>
      </c>
      <c r="F25" s="41" t="s">
        <v>19</v>
      </c>
      <c r="G25"/>
      <c r="H25"/>
      <c r="I25"/>
      <c r="J25"/>
      <c r="K25"/>
    </row>
    <row r="26" spans="2:11" s="36" customFormat="1" ht="14.25" customHeight="1">
      <c r="B26" s="7" t="s">
        <v>20</v>
      </c>
      <c r="C26" s="6">
        <v>1</v>
      </c>
      <c r="D26" s="6"/>
      <c r="E26" s="5">
        <f>ENCARREGADO!I138</f>
        <v>5338.69</v>
      </c>
      <c r="F26" s="5">
        <f>ROUND(E26/(30*1500),2)</f>
        <v>0.12</v>
      </c>
      <c r="G26"/>
      <c r="H26"/>
      <c r="I26"/>
      <c r="J26"/>
      <c r="K26"/>
    </row>
    <row r="27" spans="2:11" s="36" customFormat="1" ht="14.25" customHeight="1">
      <c r="B27" s="7"/>
      <c r="C27" s="6" t="s">
        <v>27</v>
      </c>
      <c r="D27" s="6"/>
      <c r="E27" s="5"/>
      <c r="F27" s="5"/>
      <c r="G27"/>
      <c r="H27"/>
      <c r="I27"/>
      <c r="J27"/>
      <c r="K27"/>
    </row>
    <row r="28" spans="2:11" s="36" customFormat="1">
      <c r="B28" s="43" t="s">
        <v>25</v>
      </c>
      <c r="C28" s="44">
        <v>1500</v>
      </c>
      <c r="D28" s="44">
        <f>1/1500</f>
        <v>6.6666666666666664E-4</v>
      </c>
      <c r="E28" s="43">
        <f>'SERV. INTERNO ALMOXARIFADO 20%'!I139</f>
        <v>6037.99</v>
      </c>
      <c r="F28" s="45">
        <f>ROUND(D28*E28,2)</f>
        <v>4.03</v>
      </c>
      <c r="G28"/>
      <c r="H28"/>
      <c r="I28"/>
      <c r="J28"/>
      <c r="K28"/>
    </row>
    <row r="29" spans="2:11" s="36" customFormat="1">
      <c r="B29"/>
      <c r="C29"/>
      <c r="D29"/>
      <c r="E29"/>
      <c r="F29"/>
      <c r="G29"/>
      <c r="H29"/>
      <c r="I29"/>
      <c r="J29"/>
      <c r="K29"/>
    </row>
    <row r="30" spans="2:11" s="36" customFormat="1">
      <c r="B30" s="40" t="s">
        <v>29</v>
      </c>
      <c r="C30"/>
      <c r="D30"/>
      <c r="E30"/>
      <c r="F30"/>
      <c r="G30"/>
      <c r="H30"/>
      <c r="I30"/>
      <c r="J30"/>
      <c r="K30"/>
    </row>
    <row r="31" spans="2:11" s="36" customFormat="1" ht="38.25" customHeight="1">
      <c r="B31" s="41" t="s">
        <v>16</v>
      </c>
      <c r="C31" s="8" t="s">
        <v>17</v>
      </c>
      <c r="D31" s="8"/>
      <c r="E31" s="41" t="s">
        <v>18</v>
      </c>
      <c r="F31" s="41" t="s">
        <v>19</v>
      </c>
      <c r="G31"/>
      <c r="H31"/>
      <c r="I31"/>
      <c r="J31"/>
      <c r="K31"/>
    </row>
    <row r="32" spans="2:11" s="36" customFormat="1" ht="14.25" customHeight="1">
      <c r="B32" s="7" t="s">
        <v>20</v>
      </c>
      <c r="C32" s="6">
        <v>1</v>
      </c>
      <c r="D32" s="6"/>
      <c r="E32" s="5">
        <f>ENCARREGADO!I138</f>
        <v>5338.69</v>
      </c>
      <c r="F32" s="5">
        <f>ROUND(E32/(30*1500),2)</f>
        <v>0.12</v>
      </c>
      <c r="G32"/>
      <c r="H32"/>
      <c r="I32"/>
      <c r="J32"/>
      <c r="K32"/>
    </row>
    <row r="33" spans="2:11" s="36" customFormat="1" ht="14.25" customHeight="1">
      <c r="B33" s="7"/>
      <c r="C33" s="6" t="s">
        <v>27</v>
      </c>
      <c r="D33" s="6"/>
      <c r="E33" s="5"/>
      <c r="F33" s="5"/>
      <c r="G33"/>
      <c r="H33"/>
      <c r="I33"/>
      <c r="J33"/>
      <c r="K33"/>
    </row>
    <row r="34" spans="2:11" s="36" customFormat="1">
      <c r="B34" s="43" t="s">
        <v>22</v>
      </c>
      <c r="C34" s="44">
        <v>1500</v>
      </c>
      <c r="D34" s="44">
        <f>1/1500</f>
        <v>6.6666666666666664E-4</v>
      </c>
      <c r="E34" s="43">
        <f>'SERV. INTERNO - SAGUÃO, HALL'!I139</f>
        <v>5282.7224999999999</v>
      </c>
      <c r="F34" s="45">
        <f>ROUND(D34*E34,2)</f>
        <v>3.52</v>
      </c>
      <c r="G34"/>
      <c r="H34"/>
      <c r="I34"/>
      <c r="J34"/>
      <c r="K34"/>
    </row>
    <row r="35" spans="2:11" s="36" customFormat="1">
      <c r="B35"/>
      <c r="C35"/>
      <c r="D35"/>
      <c r="E35"/>
      <c r="F35"/>
      <c r="G35"/>
      <c r="H35"/>
      <c r="I35"/>
      <c r="J35"/>
      <c r="K35"/>
    </row>
    <row r="36" spans="2:11" s="36" customFormat="1">
      <c r="B36" s="40" t="s">
        <v>30</v>
      </c>
      <c r="C36"/>
      <c r="D36"/>
      <c r="E36"/>
      <c r="F36"/>
      <c r="G36"/>
      <c r="H36"/>
      <c r="I36"/>
      <c r="J36"/>
      <c r="K36"/>
    </row>
    <row r="37" spans="2:11" s="36" customFormat="1" ht="38.25" customHeight="1">
      <c r="B37" s="41" t="s">
        <v>16</v>
      </c>
      <c r="C37" s="8" t="s">
        <v>17</v>
      </c>
      <c r="D37" s="8"/>
      <c r="E37" s="41" t="s">
        <v>18</v>
      </c>
      <c r="F37" s="41" t="s">
        <v>19</v>
      </c>
      <c r="G37"/>
      <c r="H37"/>
      <c r="I37"/>
      <c r="J37"/>
      <c r="K37"/>
    </row>
    <row r="38" spans="2:11" s="36" customFormat="1" ht="14.25" customHeight="1">
      <c r="B38" s="7" t="s">
        <v>20</v>
      </c>
      <c r="C38" s="6">
        <v>1</v>
      </c>
      <c r="D38" s="6"/>
      <c r="E38" s="5">
        <f>ENCARREGADO!I138</f>
        <v>5338.69</v>
      </c>
      <c r="F38" s="5">
        <f>ROUND(E38/(30*200),2)</f>
        <v>0.89</v>
      </c>
      <c r="G38"/>
      <c r="H38"/>
      <c r="I38"/>
      <c r="J38"/>
      <c r="K38"/>
    </row>
    <row r="39" spans="2:11" s="36" customFormat="1" ht="14.25" customHeight="1">
      <c r="B39" s="7"/>
      <c r="C39" s="6" t="s">
        <v>31</v>
      </c>
      <c r="D39" s="6"/>
      <c r="E39" s="5"/>
      <c r="F39" s="5"/>
      <c r="G39"/>
      <c r="H39"/>
      <c r="I39"/>
      <c r="J39"/>
      <c r="K39"/>
    </row>
    <row r="40" spans="2:11" s="36" customFormat="1">
      <c r="B40" s="43" t="s">
        <v>32</v>
      </c>
      <c r="C40" s="44">
        <v>200</v>
      </c>
      <c r="D40" s="44">
        <f>1/200</f>
        <v>5.0000000000000001E-3</v>
      </c>
      <c r="E40" s="43">
        <f>'SERV. INTERNO BANHEIROS 40%'!I139</f>
        <v>6789.03</v>
      </c>
      <c r="F40" s="45">
        <f>ROUND(D40*E40,2)</f>
        <v>33.950000000000003</v>
      </c>
      <c r="G40"/>
      <c r="H40"/>
      <c r="I40"/>
      <c r="J40"/>
      <c r="K40"/>
    </row>
    <row r="41" spans="2:11" s="36" customFormat="1">
      <c r="B41"/>
      <c r="C41"/>
      <c r="D41"/>
      <c r="E41" t="s">
        <v>33</v>
      </c>
      <c r="F41"/>
      <c r="G41"/>
      <c r="H41"/>
      <c r="I41"/>
      <c r="J41"/>
      <c r="K41"/>
    </row>
    <row r="42" spans="2:11" s="36" customFormat="1">
      <c r="B42" s="40" t="s">
        <v>34</v>
      </c>
      <c r="C42"/>
      <c r="D42"/>
      <c r="E42"/>
      <c r="F42"/>
      <c r="G42"/>
      <c r="H42"/>
      <c r="I42"/>
      <c r="J42"/>
      <c r="K42"/>
    </row>
    <row r="43" spans="2:11" s="36" customFormat="1" ht="38.25" customHeight="1">
      <c r="B43" s="41" t="s">
        <v>16</v>
      </c>
      <c r="C43" s="8" t="s">
        <v>17</v>
      </c>
      <c r="D43" s="8"/>
      <c r="E43" s="41" t="s">
        <v>18</v>
      </c>
      <c r="F43" s="41" t="s">
        <v>19</v>
      </c>
      <c r="G43"/>
      <c r="H43"/>
      <c r="I43"/>
      <c r="J43"/>
      <c r="K43"/>
    </row>
    <row r="44" spans="2:11" s="36" customFormat="1" ht="14.25" customHeight="1">
      <c r="B44" s="7" t="s">
        <v>20</v>
      </c>
      <c r="C44" s="6">
        <v>1</v>
      </c>
      <c r="D44" s="6"/>
      <c r="E44" s="5">
        <f>ENCARREGADO!I138</f>
        <v>5338.69</v>
      </c>
      <c r="F44" s="5">
        <f>ROUND(E44/(30*1200),2)</f>
        <v>0.15</v>
      </c>
      <c r="G44"/>
      <c r="H44"/>
      <c r="I44"/>
      <c r="J44"/>
      <c r="K44"/>
    </row>
    <row r="45" spans="2:11" s="36" customFormat="1" ht="14.25" customHeight="1">
      <c r="B45" s="7"/>
      <c r="C45" s="6" t="s">
        <v>35</v>
      </c>
      <c r="D45" s="6"/>
      <c r="E45" s="5"/>
      <c r="F45" s="5"/>
      <c r="G45"/>
      <c r="H45"/>
      <c r="I45"/>
      <c r="J45"/>
      <c r="K45"/>
    </row>
    <row r="46" spans="2:11" s="36" customFormat="1">
      <c r="B46" s="43" t="s">
        <v>22</v>
      </c>
      <c r="C46" s="44">
        <v>1800</v>
      </c>
      <c r="D46" s="44">
        <f>1/1800</f>
        <v>5.5555555555555556E-4</v>
      </c>
      <c r="E46" s="43">
        <f>'SERV. EXTERNO - PISOS'!I139</f>
        <v>4300.3828571428576</v>
      </c>
      <c r="F46" s="45">
        <f>ROUND(D46*E46,2)</f>
        <v>2.39</v>
      </c>
      <c r="G46"/>
      <c r="H46"/>
      <c r="I46"/>
      <c r="J46"/>
      <c r="K46"/>
    </row>
    <row r="47" spans="2:11" s="36" customFormat="1">
      <c r="B47"/>
      <c r="C47"/>
      <c r="D47"/>
      <c r="E47"/>
      <c r="F47"/>
      <c r="G47"/>
      <c r="H47"/>
      <c r="I47"/>
      <c r="J47"/>
      <c r="K47"/>
    </row>
    <row r="48" spans="2:11" s="36" customFormat="1">
      <c r="B48" s="40" t="s">
        <v>36</v>
      </c>
      <c r="C48"/>
      <c r="D48"/>
      <c r="E48"/>
      <c r="F48"/>
      <c r="G48"/>
      <c r="H48"/>
      <c r="I48"/>
      <c r="J48"/>
      <c r="K48"/>
    </row>
    <row r="49" spans="2:11" s="36" customFormat="1" ht="38.25" customHeight="1">
      <c r="B49" s="41" t="s">
        <v>16</v>
      </c>
      <c r="C49" s="8" t="s">
        <v>17</v>
      </c>
      <c r="D49" s="8"/>
      <c r="E49" s="41" t="s">
        <v>18</v>
      </c>
      <c r="F49" s="41" t="s">
        <v>19</v>
      </c>
      <c r="G49"/>
      <c r="H49"/>
      <c r="I49"/>
      <c r="J49"/>
      <c r="K49"/>
    </row>
    <row r="50" spans="2:11" s="36" customFormat="1" ht="14.25" customHeight="1">
      <c r="B50" s="7" t="s">
        <v>20</v>
      </c>
      <c r="C50" s="6">
        <v>1</v>
      </c>
      <c r="D50" s="6"/>
      <c r="E50" s="5">
        <f>ENCARREGADO!I138</f>
        <v>5338.69</v>
      </c>
      <c r="F50" s="5">
        <f>ROUND(E50/(30*6000),2)</f>
        <v>0.03</v>
      </c>
      <c r="G50"/>
      <c r="H50"/>
      <c r="I50"/>
      <c r="J50"/>
      <c r="K50"/>
    </row>
    <row r="51" spans="2:11" s="36" customFormat="1" ht="14.25" customHeight="1">
      <c r="B51" s="7"/>
      <c r="C51" s="6" t="s">
        <v>37</v>
      </c>
      <c r="D51" s="6"/>
      <c r="E51" s="5"/>
      <c r="F51" s="5"/>
      <c r="G51"/>
      <c r="H51"/>
      <c r="I51"/>
      <c r="J51"/>
      <c r="K51"/>
    </row>
    <row r="52" spans="2:11" s="36" customFormat="1">
      <c r="B52" s="43" t="s">
        <v>22</v>
      </c>
      <c r="C52" s="44">
        <v>6000</v>
      </c>
      <c r="D52" s="44">
        <f>1/6000</f>
        <v>1.6666666666666666E-4</v>
      </c>
      <c r="E52" s="43">
        <f>'SERV. EXTERNO - VARRIÇÃO'!I139</f>
        <v>4300.3828571428576</v>
      </c>
      <c r="F52" s="45">
        <f>ROUND(D52*E52,2)</f>
        <v>0.72</v>
      </c>
      <c r="G52"/>
      <c r="H52"/>
      <c r="I52"/>
      <c r="J52"/>
      <c r="K52"/>
    </row>
    <row r="53" spans="2:11" s="36" customFormat="1">
      <c r="B53"/>
      <c r="C53"/>
      <c r="D53"/>
      <c r="E53"/>
      <c r="F53"/>
      <c r="G53"/>
      <c r="H53"/>
      <c r="I53"/>
      <c r="J53"/>
      <c r="K53"/>
    </row>
    <row r="54" spans="2:11" s="36" customFormat="1">
      <c r="B54" s="40" t="s">
        <v>38</v>
      </c>
      <c r="C54"/>
      <c r="D54"/>
      <c r="E54"/>
      <c r="F54"/>
      <c r="G54"/>
      <c r="H54"/>
      <c r="I54"/>
      <c r="J54"/>
      <c r="K54"/>
    </row>
    <row r="55" spans="2:11" s="36" customFormat="1" ht="38.25" customHeight="1">
      <c r="B55" s="41" t="s">
        <v>16</v>
      </c>
      <c r="C55" s="8" t="s">
        <v>17</v>
      </c>
      <c r="D55" s="8"/>
      <c r="E55" s="41" t="s">
        <v>18</v>
      </c>
      <c r="F55" s="41" t="s">
        <v>19</v>
      </c>
      <c r="G55"/>
      <c r="H55"/>
      <c r="I55"/>
      <c r="J55"/>
      <c r="K55"/>
    </row>
    <row r="56" spans="2:11" s="36" customFormat="1" ht="14.25" customHeight="1">
      <c r="B56" s="7" t="s">
        <v>20</v>
      </c>
      <c r="C56" s="6">
        <v>1</v>
      </c>
      <c r="D56" s="6"/>
      <c r="E56" s="5">
        <f>ENCARREGADO!I138</f>
        <v>5338.69</v>
      </c>
      <c r="F56" s="5">
        <f>ROUND(E56/(30*1800),2)</f>
        <v>0.1</v>
      </c>
      <c r="G56"/>
      <c r="H56"/>
      <c r="I56"/>
      <c r="J56"/>
      <c r="K56"/>
    </row>
    <row r="57" spans="2:11" s="36" customFormat="1" ht="14.25" customHeight="1">
      <c r="B57" s="7"/>
      <c r="C57" s="6" t="s">
        <v>35</v>
      </c>
      <c r="D57" s="6"/>
      <c r="E57" s="5"/>
      <c r="F57" s="5"/>
      <c r="G57"/>
      <c r="H57"/>
      <c r="I57"/>
      <c r="J57"/>
      <c r="K57"/>
    </row>
    <row r="58" spans="2:11" s="36" customFormat="1">
      <c r="B58" s="43" t="s">
        <v>22</v>
      </c>
      <c r="C58" s="44">
        <v>1800</v>
      </c>
      <c r="D58" s="44">
        <f>1/1800</f>
        <v>5.5555555555555556E-4</v>
      </c>
      <c r="E58" s="43">
        <f>'SERV. EXTERNO PÁTIOS ALTA FREQ.'!I139</f>
        <v>4300.3828571428576</v>
      </c>
      <c r="F58" s="45">
        <f>ROUND(D58*E58,2)</f>
        <v>2.39</v>
      </c>
      <c r="G58"/>
      <c r="H58"/>
      <c r="I58"/>
      <c r="J58"/>
      <c r="K58"/>
    </row>
    <row r="59" spans="2:11" s="36" customFormat="1">
      <c r="B59"/>
      <c r="C59"/>
      <c r="D59"/>
      <c r="E59"/>
      <c r="F59"/>
      <c r="G59"/>
      <c r="H59"/>
      <c r="I59"/>
      <c r="J59"/>
      <c r="K59"/>
    </row>
    <row r="60" spans="2:11" s="36" customFormat="1">
      <c r="B60" s="40" t="s">
        <v>39</v>
      </c>
      <c r="C60"/>
      <c r="D60"/>
      <c r="E60"/>
      <c r="F60"/>
      <c r="G60"/>
      <c r="H60"/>
      <c r="I60"/>
      <c r="J60"/>
      <c r="K60"/>
    </row>
    <row r="61" spans="2:11" s="36" customFormat="1" ht="38.25" customHeight="1">
      <c r="B61" s="41" t="s">
        <v>16</v>
      </c>
      <c r="C61" s="8" t="s">
        <v>17</v>
      </c>
      <c r="D61" s="8"/>
      <c r="E61" s="41" t="s">
        <v>18</v>
      </c>
      <c r="F61" s="41" t="s">
        <v>19</v>
      </c>
      <c r="G61"/>
      <c r="H61"/>
      <c r="I61"/>
      <c r="J61"/>
      <c r="K61"/>
    </row>
    <row r="62" spans="2:11" s="36" customFormat="1" ht="14.25" customHeight="1">
      <c r="B62" s="7" t="s">
        <v>20</v>
      </c>
      <c r="C62" s="6">
        <v>1</v>
      </c>
      <c r="D62" s="6"/>
      <c r="E62" s="5">
        <f>ENCARREGADO!I138</f>
        <v>5338.69</v>
      </c>
      <c r="F62" s="5">
        <f>ROUND(E62/(30*2700),2)</f>
        <v>7.0000000000000007E-2</v>
      </c>
      <c r="G62"/>
      <c r="H62"/>
      <c r="I62"/>
      <c r="J62"/>
      <c r="K62"/>
    </row>
    <row r="63" spans="2:11" s="36" customFormat="1" ht="14.25" customHeight="1">
      <c r="B63" s="7"/>
      <c r="C63" s="6" t="s">
        <v>40</v>
      </c>
      <c r="D63" s="6"/>
      <c r="E63" s="5"/>
      <c r="F63" s="5"/>
      <c r="G63"/>
      <c r="H63"/>
      <c r="I63"/>
      <c r="J63"/>
      <c r="K63"/>
    </row>
    <row r="64" spans="2:11" s="36" customFormat="1">
      <c r="B64" s="43" t="s">
        <v>22</v>
      </c>
      <c r="C64" s="44">
        <v>2700</v>
      </c>
      <c r="D64" s="44">
        <f>1/2700</f>
        <v>3.7037037037037035E-4</v>
      </c>
      <c r="E64" s="43">
        <f>'SERV. EXTERNO PÁTIOS BAIXA FREQ'!I139</f>
        <v>4300.3828571428576</v>
      </c>
      <c r="F64" s="45">
        <f>ROUND(D64*E64,2)</f>
        <v>1.59</v>
      </c>
      <c r="G64"/>
      <c r="H64"/>
      <c r="I64"/>
      <c r="J64"/>
      <c r="K64"/>
    </row>
    <row r="65" spans="1:1023" s="36" customFormat="1">
      <c r="B65"/>
      <c r="C65"/>
      <c r="D65"/>
      <c r="E65"/>
      <c r="F65"/>
      <c r="G65"/>
      <c r="H65"/>
      <c r="I65"/>
      <c r="J65"/>
      <c r="K65"/>
    </row>
    <row r="66" spans="1:1023" s="36" customFormat="1">
      <c r="B66" s="40" t="s">
        <v>41</v>
      </c>
      <c r="C66"/>
      <c r="D66"/>
      <c r="E66"/>
      <c r="F66"/>
      <c r="G66"/>
      <c r="H66"/>
      <c r="I66"/>
      <c r="J66"/>
      <c r="K66"/>
    </row>
    <row r="67" spans="1:1023" s="36" customFormat="1" ht="38.25" customHeight="1">
      <c r="B67" s="41" t="s">
        <v>16</v>
      </c>
      <c r="C67" s="8" t="s">
        <v>17</v>
      </c>
      <c r="D67" s="8"/>
      <c r="E67" s="41" t="s">
        <v>18</v>
      </c>
      <c r="F67" s="41" t="s">
        <v>19</v>
      </c>
      <c r="G67"/>
      <c r="H67"/>
      <c r="I67"/>
      <c r="J67"/>
      <c r="K67"/>
    </row>
    <row r="68" spans="1:1023" s="36" customFormat="1" ht="14.25" customHeight="1">
      <c r="B68" s="7" t="s">
        <v>20</v>
      </c>
      <c r="C68" s="6">
        <v>1</v>
      </c>
      <c r="D68" s="6"/>
      <c r="E68" s="5">
        <f>ENCARREGADO!I138</f>
        <v>5338.69</v>
      </c>
      <c r="F68" s="5">
        <f>ROUNDUP(E68/(30*100000),2)</f>
        <v>0.01</v>
      </c>
      <c r="G68"/>
      <c r="H68" s="46"/>
      <c r="I68"/>
      <c r="J68"/>
      <c r="K68"/>
    </row>
    <row r="69" spans="1:1023" s="36" customFormat="1" ht="14.25" customHeight="1">
      <c r="B69" s="7"/>
      <c r="C69" s="6" t="s">
        <v>42</v>
      </c>
      <c r="D69" s="6"/>
      <c r="E69" s="5"/>
      <c r="F69" s="5"/>
      <c r="G69"/>
      <c r="H69" s="46"/>
      <c r="I69"/>
      <c r="J69"/>
      <c r="K69"/>
    </row>
    <row r="70" spans="1:1023" s="36" customFormat="1">
      <c r="B70" s="43" t="s">
        <v>22</v>
      </c>
      <c r="C70" s="44">
        <v>100000</v>
      </c>
      <c r="D70" s="44">
        <f>1/100000</f>
        <v>1.0000000000000001E-5</v>
      </c>
      <c r="E70" s="43">
        <f>'SERV. EXTERNO COLETA'!I139</f>
        <v>4300.3828571428576</v>
      </c>
      <c r="F70" s="45">
        <f>ROUND(D70*E70,2)</f>
        <v>0.04</v>
      </c>
      <c r="G70"/>
      <c r="H70" s="46"/>
      <c r="I70"/>
      <c r="J70"/>
      <c r="K70"/>
    </row>
    <row r="71" spans="1:1023" s="36" customFormat="1">
      <c r="B71"/>
      <c r="C71"/>
      <c r="D71"/>
      <c r="E71"/>
      <c r="F71"/>
      <c r="G71"/>
      <c r="H71" s="46"/>
      <c r="I71"/>
      <c r="J71"/>
      <c r="K71"/>
    </row>
    <row r="72" spans="1:1023">
      <c r="B72" s="47"/>
      <c r="C72" s="47"/>
      <c r="D72" s="47"/>
      <c r="E72" s="47"/>
      <c r="F72" s="47"/>
      <c r="G72" s="47"/>
      <c r="H72" s="48"/>
      <c r="I72"/>
      <c r="J72"/>
    </row>
    <row r="73" spans="1:1023" ht="15" customHeight="1">
      <c r="A73" s="4" t="s">
        <v>43</v>
      </c>
      <c r="B73" s="4"/>
      <c r="C73" s="49"/>
      <c r="D73" s="49"/>
      <c r="E73" s="49"/>
      <c r="F73" s="49"/>
      <c r="G73" s="49"/>
      <c r="H73"/>
      <c r="I73" s="46"/>
      <c r="J73"/>
    </row>
    <row r="74" spans="1:1023">
      <c r="I74" s="50"/>
    </row>
    <row r="75" spans="1:1023" ht="38.25" customHeight="1">
      <c r="B75" s="41" t="s">
        <v>44</v>
      </c>
      <c r="C75" s="8" t="s">
        <v>16</v>
      </c>
      <c r="D75" s="8"/>
      <c r="E75" s="41" t="s">
        <v>45</v>
      </c>
      <c r="F75" s="41" t="s">
        <v>46</v>
      </c>
      <c r="G75" s="41" t="s">
        <v>47</v>
      </c>
      <c r="AMH75"/>
      <c r="AMI75"/>
    </row>
    <row r="76" spans="1:1023" ht="14.25" customHeight="1">
      <c r="B76" s="3" t="s">
        <v>15</v>
      </c>
      <c r="C76" s="6" t="s">
        <v>48</v>
      </c>
      <c r="D76" s="6"/>
      <c r="E76" s="51">
        <f>F8</f>
        <v>0.15</v>
      </c>
      <c r="F76" s="52">
        <f>F116</f>
        <v>18498.43</v>
      </c>
      <c r="G76" s="53">
        <f>ROUND(E76*F76,2)</f>
        <v>2774.76</v>
      </c>
      <c r="AMH76"/>
      <c r="AMI76"/>
    </row>
    <row r="77" spans="1:1023" ht="15" customHeight="1">
      <c r="B77" s="3"/>
      <c r="C77" s="2" t="s">
        <v>49</v>
      </c>
      <c r="D77" s="2"/>
      <c r="E77" s="54">
        <f>F10</f>
        <v>4.4000000000000004</v>
      </c>
      <c r="F77" s="52">
        <f>F116</f>
        <v>18498.43</v>
      </c>
      <c r="G77" s="53">
        <f>ROUND(E77*F77,2)</f>
        <v>81393.09</v>
      </c>
      <c r="AMH77"/>
      <c r="AMI77"/>
    </row>
    <row r="78" spans="1:1023" ht="12" customHeight="1">
      <c r="B78" s="55"/>
      <c r="C78" s="1"/>
      <c r="D78" s="1"/>
      <c r="E78" s="56"/>
      <c r="F78" s="55"/>
      <c r="G78" s="57"/>
      <c r="AMH78"/>
      <c r="AMI78"/>
    </row>
    <row r="79" spans="1:1023" ht="15" customHeight="1">
      <c r="B79" s="3" t="s">
        <v>50</v>
      </c>
      <c r="C79" s="2" t="s">
        <v>48</v>
      </c>
      <c r="D79" s="2"/>
      <c r="E79" s="54">
        <f>F14</f>
        <v>0.4</v>
      </c>
      <c r="F79" s="52">
        <f>F148</f>
        <v>2733.58</v>
      </c>
      <c r="G79" s="53">
        <f>ROUND(E79*F79,2)</f>
        <v>1093.43</v>
      </c>
      <c r="AMH79"/>
      <c r="AMI79"/>
    </row>
    <row r="80" spans="1:1023" ht="25.5" customHeight="1">
      <c r="B80" s="3"/>
      <c r="C80" s="6" t="s">
        <v>49</v>
      </c>
      <c r="D80" s="6"/>
      <c r="E80" s="54">
        <f>F16</f>
        <v>13.42</v>
      </c>
      <c r="F80" s="52">
        <f>F148</f>
        <v>2733.58</v>
      </c>
      <c r="G80" s="53">
        <f>ROUND(E80*F80,2)</f>
        <v>36684.639999999999</v>
      </c>
      <c r="J80" s="58"/>
      <c r="K80" s="58"/>
      <c r="AMH80"/>
      <c r="AMI80"/>
    </row>
    <row r="81" spans="2:1023" ht="12.75" customHeight="1">
      <c r="B81" s="55"/>
      <c r="C81" s="30"/>
      <c r="D81" s="30"/>
      <c r="E81" s="56"/>
      <c r="F81" s="55"/>
      <c r="G81" s="57"/>
      <c r="J81" s="58"/>
      <c r="K81" s="58"/>
      <c r="AMH81"/>
      <c r="AMI81"/>
    </row>
    <row r="82" spans="2:1023" ht="16.5" customHeight="1">
      <c r="B82" s="29" t="s">
        <v>26</v>
      </c>
      <c r="C82" s="6" t="s">
        <v>48</v>
      </c>
      <c r="D82" s="6"/>
      <c r="E82" s="54">
        <f>F20</f>
        <v>0.12</v>
      </c>
      <c r="F82" s="59">
        <v>2379.14</v>
      </c>
      <c r="G82" s="53">
        <f>ROUND(E82*F82,2)</f>
        <v>285.5</v>
      </c>
      <c r="J82" s="58"/>
      <c r="K82" s="58"/>
      <c r="AMH82"/>
      <c r="AMI82"/>
    </row>
    <row r="83" spans="2:1023" ht="14.25" customHeight="1">
      <c r="B83" s="29"/>
      <c r="C83" s="6" t="s">
        <v>49</v>
      </c>
      <c r="D83" s="6"/>
      <c r="E83" s="54">
        <f>F22</f>
        <v>3.52</v>
      </c>
      <c r="F83" s="59">
        <v>2379.14</v>
      </c>
      <c r="G83" s="53">
        <f>ROUND(E83*F83,2)</f>
        <v>8374.57</v>
      </c>
      <c r="J83" s="60"/>
      <c r="K83" s="58"/>
      <c r="AMH83"/>
      <c r="AMI83"/>
    </row>
    <row r="84" spans="2:1023" ht="11.25" customHeight="1">
      <c r="B84" s="61"/>
      <c r="C84" s="30"/>
      <c r="D84" s="30"/>
      <c r="E84" s="56"/>
      <c r="F84" s="61"/>
      <c r="G84" s="57"/>
      <c r="J84" s="60"/>
      <c r="K84" s="58"/>
      <c r="AMH84"/>
      <c r="AMI84"/>
    </row>
    <row r="85" spans="2:1023" ht="14.25" customHeight="1">
      <c r="B85" s="28" t="s">
        <v>51</v>
      </c>
      <c r="C85" s="6" t="s">
        <v>48</v>
      </c>
      <c r="D85" s="6"/>
      <c r="E85" s="54">
        <f>F26</f>
        <v>0.12</v>
      </c>
      <c r="F85" s="62">
        <f>F184</f>
        <v>69.510000000000005</v>
      </c>
      <c r="G85" s="53">
        <f>ROUND(E85*F85,2)</f>
        <v>8.34</v>
      </c>
      <c r="J85" s="60"/>
      <c r="K85" s="58"/>
      <c r="AMH85"/>
      <c r="AMI85"/>
    </row>
    <row r="86" spans="2:1023" ht="28.5" customHeight="1">
      <c r="B86" s="28"/>
      <c r="C86" s="6" t="s">
        <v>49</v>
      </c>
      <c r="D86" s="6"/>
      <c r="E86" s="54">
        <f>F28</f>
        <v>4.03</v>
      </c>
      <c r="F86" s="62">
        <f>F184</f>
        <v>69.510000000000005</v>
      </c>
      <c r="G86" s="53">
        <f>ROUND(E86*F86,2)</f>
        <v>280.13</v>
      </c>
      <c r="J86" s="60"/>
      <c r="K86" s="58"/>
      <c r="AMH86"/>
      <c r="AMI86"/>
    </row>
    <row r="87" spans="2:1023" ht="12" customHeight="1">
      <c r="B87" s="63"/>
      <c r="C87" s="30"/>
      <c r="D87" s="30"/>
      <c r="E87" s="56"/>
      <c r="F87" s="63"/>
      <c r="G87" s="57"/>
      <c r="J87" s="60"/>
      <c r="K87" s="58"/>
      <c r="AMH87"/>
      <c r="AMI87"/>
    </row>
    <row r="88" spans="2:1023" ht="21" customHeight="1">
      <c r="B88" s="29" t="s">
        <v>52</v>
      </c>
      <c r="C88" s="6" t="s">
        <v>48</v>
      </c>
      <c r="D88" s="6"/>
      <c r="E88" s="54">
        <f>F32</f>
        <v>0.12</v>
      </c>
      <c r="F88" s="59">
        <f>F196</f>
        <v>5131.99</v>
      </c>
      <c r="G88" s="53">
        <f>ROUND(E88*F88,2)</f>
        <v>615.84</v>
      </c>
      <c r="J88" s="60"/>
      <c r="K88" s="58"/>
      <c r="AMH88"/>
      <c r="AMI88"/>
    </row>
    <row r="89" spans="2:1023" ht="25.5" customHeight="1">
      <c r="B89" s="29"/>
      <c r="C89" s="6" t="s">
        <v>49</v>
      </c>
      <c r="D89" s="6"/>
      <c r="E89" s="54">
        <f>F34</f>
        <v>3.52</v>
      </c>
      <c r="F89" s="59">
        <f>F196</f>
        <v>5131.99</v>
      </c>
      <c r="G89" s="53">
        <f>ROUND(E89*F89,2)</f>
        <v>18064.599999999999</v>
      </c>
      <c r="J89" s="60"/>
      <c r="K89" s="58"/>
      <c r="AMH89"/>
      <c r="AMI89"/>
    </row>
    <row r="90" spans="2:1023" ht="12.75" customHeight="1">
      <c r="B90" s="61"/>
      <c r="C90" s="30"/>
      <c r="D90" s="30"/>
      <c r="E90" s="56"/>
      <c r="F90" s="61"/>
      <c r="G90" s="57"/>
      <c r="J90" s="60"/>
      <c r="K90" s="58"/>
      <c r="AMH90"/>
      <c r="AMI90"/>
    </row>
    <row r="91" spans="2:1023" ht="25.5" customHeight="1">
      <c r="B91" s="29" t="s">
        <v>53</v>
      </c>
      <c r="C91" s="6" t="s">
        <v>48</v>
      </c>
      <c r="D91" s="6"/>
      <c r="E91" s="54">
        <f>F38</f>
        <v>0.89</v>
      </c>
      <c r="F91" s="59">
        <f>F212</f>
        <v>1153.1600000000001</v>
      </c>
      <c r="G91" s="53">
        <f>ROUND(E91*F91,2)</f>
        <v>1026.31</v>
      </c>
      <c r="J91" s="60"/>
      <c r="K91" s="58"/>
      <c r="AMH91"/>
      <c r="AMI91"/>
    </row>
    <row r="92" spans="2:1023" ht="25.5" customHeight="1">
      <c r="B92" s="29"/>
      <c r="C92" s="6" t="s">
        <v>49</v>
      </c>
      <c r="D92" s="6"/>
      <c r="E92" s="54">
        <f>F40</f>
        <v>33.950000000000003</v>
      </c>
      <c r="F92" s="59">
        <f>F212</f>
        <v>1153.1600000000001</v>
      </c>
      <c r="G92" s="53">
        <f>ROUND(E92*F92,2)</f>
        <v>39149.78</v>
      </c>
      <c r="J92" s="60"/>
      <c r="K92" s="58"/>
      <c r="AMH92"/>
      <c r="AMI92"/>
    </row>
    <row r="93" spans="2:1023" ht="11.25" customHeight="1">
      <c r="B93" s="63"/>
      <c r="C93" s="30"/>
      <c r="D93" s="30"/>
      <c r="E93" s="56"/>
      <c r="F93" s="63"/>
      <c r="G93" s="57"/>
      <c r="J93" s="60"/>
      <c r="K93" s="58"/>
      <c r="AMH93"/>
      <c r="AMI93"/>
    </row>
    <row r="94" spans="2:1023" ht="25.5" customHeight="1">
      <c r="B94" s="29" t="s">
        <v>54</v>
      </c>
      <c r="C94" s="6" t="s">
        <v>48</v>
      </c>
      <c r="D94" s="6"/>
      <c r="E94" s="54">
        <f>F44</f>
        <v>0.15</v>
      </c>
      <c r="F94" s="59">
        <f>F240</f>
        <v>4505.6499999999996</v>
      </c>
      <c r="G94" s="53">
        <f>ROUND(E94*F94,2)</f>
        <v>675.85</v>
      </c>
      <c r="J94" s="60"/>
      <c r="K94" s="58"/>
      <c r="AMH94"/>
      <c r="AMI94"/>
    </row>
    <row r="95" spans="2:1023">
      <c r="B95" s="29"/>
      <c r="C95" s="2" t="s">
        <v>49</v>
      </c>
      <c r="D95" s="2"/>
      <c r="E95" s="54">
        <f>F46</f>
        <v>2.39</v>
      </c>
      <c r="F95" s="59">
        <f>F240</f>
        <v>4505.6499999999996</v>
      </c>
      <c r="G95" s="53">
        <f>ROUND(E95*F95,2)</f>
        <v>10768.5</v>
      </c>
      <c r="J95" s="60"/>
      <c r="K95" s="58"/>
      <c r="AMH95"/>
      <c r="AMI95"/>
    </row>
    <row r="96" spans="2:1023" ht="11.25" customHeight="1">
      <c r="B96" s="63"/>
      <c r="C96" s="1"/>
      <c r="D96" s="1"/>
      <c r="E96" s="56"/>
      <c r="F96" s="63"/>
      <c r="G96" s="57"/>
      <c r="J96" s="60"/>
      <c r="K96" s="58"/>
      <c r="AMH96"/>
      <c r="AMI96"/>
    </row>
    <row r="97" spans="1:1023" ht="14.25" customHeight="1">
      <c r="B97" s="29" t="s">
        <v>55</v>
      </c>
      <c r="C97" s="2" t="s">
        <v>48</v>
      </c>
      <c r="D97" s="2"/>
      <c r="E97" s="54">
        <f>F50</f>
        <v>0.03</v>
      </c>
      <c r="F97" s="59">
        <f>F265</f>
        <v>7719.34</v>
      </c>
      <c r="G97" s="53">
        <f>ROUND(E97*F97,2)</f>
        <v>231.58</v>
      </c>
      <c r="J97" s="60"/>
      <c r="K97" s="58"/>
      <c r="AMH97"/>
      <c r="AMI97"/>
    </row>
    <row r="98" spans="1:1023" ht="25.5" customHeight="1">
      <c r="B98" s="29"/>
      <c r="C98" s="6" t="s">
        <v>49</v>
      </c>
      <c r="D98" s="6"/>
      <c r="E98" s="54">
        <f>F52</f>
        <v>0.72</v>
      </c>
      <c r="F98" s="59">
        <f>F265</f>
        <v>7719.34</v>
      </c>
      <c r="G98" s="53">
        <f>ROUND(E98*F98,2)</f>
        <v>5557.92</v>
      </c>
      <c r="J98" s="60"/>
      <c r="K98" s="58"/>
      <c r="AMH98"/>
      <c r="AMI98"/>
    </row>
    <row r="99" spans="1:1023" ht="11.25" customHeight="1">
      <c r="B99" s="63"/>
      <c r="C99" s="30"/>
      <c r="D99" s="30"/>
      <c r="E99" s="56"/>
      <c r="F99" s="63"/>
      <c r="G99" s="57"/>
      <c r="J99" s="60"/>
      <c r="K99" s="58"/>
      <c r="AMH99"/>
      <c r="AMI99"/>
    </row>
    <row r="100" spans="1:1023" ht="25.5" customHeight="1">
      <c r="B100" s="29" t="s">
        <v>38</v>
      </c>
      <c r="C100" s="6" t="s">
        <v>48</v>
      </c>
      <c r="D100" s="6"/>
      <c r="E100" s="54">
        <f>F56</f>
        <v>0.1</v>
      </c>
      <c r="F100" s="59">
        <f>F275</f>
        <v>3586.64</v>
      </c>
      <c r="G100" s="53">
        <f>ROUND(E100*F100,2)</f>
        <v>358.66</v>
      </c>
      <c r="J100" s="60"/>
      <c r="K100" s="58"/>
      <c r="AMH100"/>
      <c r="AMI100"/>
    </row>
    <row r="101" spans="1:1023" ht="25.5" customHeight="1">
      <c r="B101" s="29"/>
      <c r="C101" s="6" t="s">
        <v>49</v>
      </c>
      <c r="D101" s="6"/>
      <c r="E101" s="54">
        <f>F58</f>
        <v>2.39</v>
      </c>
      <c r="F101" s="59">
        <f>F275</f>
        <v>3586.64</v>
      </c>
      <c r="G101" s="53">
        <f>ROUND(E101*F101,2)</f>
        <v>8572.07</v>
      </c>
      <c r="J101" s="60"/>
      <c r="K101" s="58"/>
      <c r="AMH101"/>
      <c r="AMI101"/>
    </row>
    <row r="102" spans="1:1023" ht="12" customHeight="1">
      <c r="B102" s="63"/>
      <c r="C102" s="30"/>
      <c r="D102" s="30"/>
      <c r="E102" s="56"/>
      <c r="F102" s="63"/>
      <c r="G102" s="57"/>
      <c r="J102" s="60"/>
      <c r="K102" s="58"/>
      <c r="AMH102"/>
      <c r="AMI102"/>
    </row>
    <row r="103" spans="1:1023" ht="25.5" customHeight="1">
      <c r="B103" s="29" t="s">
        <v>56</v>
      </c>
      <c r="C103" s="6" t="s">
        <v>48</v>
      </c>
      <c r="D103" s="6"/>
      <c r="E103" s="54">
        <f>F62</f>
        <v>7.0000000000000007E-2</v>
      </c>
      <c r="F103" s="59">
        <f>F291</f>
        <v>2332.19</v>
      </c>
      <c r="G103" s="53">
        <f>ROUND(E103*F103,2)</f>
        <v>163.25</v>
      </c>
      <c r="J103" s="60"/>
      <c r="K103" s="58"/>
      <c r="AMH103"/>
      <c r="AMI103"/>
    </row>
    <row r="104" spans="1:1023" ht="25.5" customHeight="1">
      <c r="B104" s="29"/>
      <c r="C104" s="6" t="s">
        <v>49</v>
      </c>
      <c r="D104" s="6"/>
      <c r="E104" s="54">
        <f>F64</f>
        <v>1.59</v>
      </c>
      <c r="F104" s="59">
        <f>F291</f>
        <v>2332.19</v>
      </c>
      <c r="G104" s="53">
        <f>ROUND(E104*F104,2)</f>
        <v>3708.18</v>
      </c>
      <c r="J104" s="60"/>
      <c r="K104" s="58"/>
      <c r="AMH104"/>
      <c r="AMI104"/>
    </row>
    <row r="105" spans="1:1023" ht="12" customHeight="1">
      <c r="B105" s="63"/>
      <c r="C105" s="30"/>
      <c r="D105" s="30"/>
      <c r="E105" s="56"/>
      <c r="F105" s="63"/>
      <c r="G105" s="57"/>
      <c r="J105" s="60"/>
      <c r="K105" s="58"/>
      <c r="AMH105"/>
      <c r="AMI105"/>
    </row>
    <row r="106" spans="1:1023" ht="19.5" customHeight="1">
      <c r="B106" s="29" t="s">
        <v>41</v>
      </c>
      <c r="C106" s="6" t="s">
        <v>48</v>
      </c>
      <c r="D106" s="6"/>
      <c r="E106" s="54">
        <f>F68</f>
        <v>0.01</v>
      </c>
      <c r="F106" s="59">
        <f>F315</f>
        <v>7601</v>
      </c>
      <c r="G106" s="53">
        <f>ROUND(E106*F106,2)</f>
        <v>76.010000000000005</v>
      </c>
      <c r="J106" s="60"/>
      <c r="K106" s="58"/>
      <c r="AMH106"/>
      <c r="AMI106"/>
    </row>
    <row r="107" spans="1:1023" ht="14.25" customHeight="1">
      <c r="B107" s="29"/>
      <c r="C107" s="6" t="s">
        <v>49</v>
      </c>
      <c r="D107" s="6"/>
      <c r="E107" s="54">
        <f>F70</f>
        <v>0.04</v>
      </c>
      <c r="F107" s="59">
        <f>F315</f>
        <v>7601</v>
      </c>
      <c r="G107" s="53">
        <f>ROUND(E107*F107,2)</f>
        <v>304.04000000000002</v>
      </c>
      <c r="J107" s="60"/>
      <c r="K107" s="58"/>
      <c r="AMH107"/>
      <c r="AMI107"/>
    </row>
    <row r="108" spans="1:1023">
      <c r="B108" s="63"/>
      <c r="C108" s="27"/>
      <c r="D108" s="27"/>
      <c r="E108" s="27"/>
      <c r="F108" s="27"/>
      <c r="G108" s="64"/>
      <c r="H108" s="65"/>
      <c r="K108" s="58"/>
      <c r="AMH108"/>
      <c r="AMI108"/>
    </row>
    <row r="109" spans="1:1023">
      <c r="B109" s="29"/>
      <c r="C109" s="26" t="s">
        <v>10</v>
      </c>
      <c r="D109" s="26"/>
      <c r="E109" s="26"/>
      <c r="F109" s="26"/>
      <c r="G109" s="66">
        <f>SUM(G77:G107)</f>
        <v>217392.29</v>
      </c>
      <c r="H109" s="67"/>
      <c r="I109" s="36" t="s">
        <v>33</v>
      </c>
    </row>
    <row r="110" spans="1:1023">
      <c r="B110" s="29"/>
      <c r="C110" s="26" t="s">
        <v>11</v>
      </c>
      <c r="D110" s="26"/>
      <c r="E110" s="26"/>
      <c r="F110" s="26"/>
      <c r="G110" s="66">
        <f>G109*6</f>
        <v>1304353.74</v>
      </c>
      <c r="H110" s="46"/>
    </row>
    <row r="112" spans="1:1023">
      <c r="A112" s="9" t="s">
        <v>57</v>
      </c>
      <c r="B112" s="9"/>
      <c r="C112" s="9"/>
      <c r="D112" s="9"/>
      <c r="E112" s="9"/>
      <c r="F112" s="9"/>
      <c r="G112" s="9"/>
    </row>
    <row r="113" spans="1:8">
      <c r="A113" s="37"/>
      <c r="B113" s="37"/>
    </row>
    <row r="114" spans="1:8" ht="52.8">
      <c r="A114" s="68" t="s">
        <v>1</v>
      </c>
      <c r="B114" s="69" t="s">
        <v>58</v>
      </c>
      <c r="C114" s="70" t="s">
        <v>59</v>
      </c>
      <c r="D114" s="70" t="s">
        <v>60</v>
      </c>
      <c r="E114" s="70" t="s">
        <v>61</v>
      </c>
      <c r="F114" s="70" t="s">
        <v>62</v>
      </c>
      <c r="G114" s="71" t="s">
        <v>63</v>
      </c>
    </row>
    <row r="115" spans="1:8">
      <c r="A115" s="68" t="s">
        <v>64</v>
      </c>
      <c r="B115" s="69" t="s">
        <v>65</v>
      </c>
      <c r="C115" s="72">
        <f>SUM(C116,C148,C168,C184,C196,C212)</f>
        <v>32444.95</v>
      </c>
      <c r="D115" s="72">
        <f>SUM(D116,D148,D168,D184,D196,D212)</f>
        <v>1621</v>
      </c>
      <c r="E115" s="72">
        <f>SUM(E116,E148,E168,E184,E196,E212)</f>
        <v>520974.76000000007</v>
      </c>
      <c r="F115" s="72">
        <f>SUM(F116,F148,F168,F184,F196,F212)</f>
        <v>29965.789999999997</v>
      </c>
      <c r="G115" s="71">
        <f>ROUNDDOWN(SUM(G116,G148,G168,G184,G196,G212),0)</f>
        <v>31</v>
      </c>
    </row>
    <row r="116" spans="1:8" ht="39.6">
      <c r="A116" s="73" t="s">
        <v>66</v>
      </c>
      <c r="B116" s="74" t="s">
        <v>67</v>
      </c>
      <c r="C116" s="75">
        <f>SUM(C117,C128,C133,C137,C140)</f>
        <v>8274.1999999999989</v>
      </c>
      <c r="D116" s="75">
        <f>SUM(D117,D128,D133,D137,D140)</f>
        <v>902</v>
      </c>
      <c r="E116" s="75">
        <f>SUM(E117,E128,E133,E137,E140)</f>
        <v>406965.46000000008</v>
      </c>
      <c r="F116" s="75">
        <f>ROUND(F117+F128+F133+F137+F140,2)</f>
        <v>18498.43</v>
      </c>
      <c r="G116" s="76">
        <f>SUM(G117,G128,G133,G140)</f>
        <v>15.385591666666667</v>
      </c>
      <c r="H116" s="77"/>
    </row>
    <row r="117" spans="1:8" ht="14.25" customHeight="1">
      <c r="A117" s="25" t="s">
        <v>68</v>
      </c>
      <c r="B117" s="25"/>
      <c r="C117" s="78">
        <f>SUM(C118:C127)</f>
        <v>4317.7</v>
      </c>
      <c r="D117" s="78">
        <f>SUM(D118:D127)</f>
        <v>506</v>
      </c>
      <c r="E117" s="78">
        <f>SUM(E118:E127)</f>
        <v>257387.24000000002</v>
      </c>
      <c r="F117" s="78">
        <f>SUM(F118:F127)</f>
        <v>11699.419999999998</v>
      </c>
      <c r="G117" s="79">
        <f>SUM(G118:G126)</f>
        <v>9.7464166666666667</v>
      </c>
    </row>
    <row r="118" spans="1:8">
      <c r="A118" s="80" t="s">
        <v>69</v>
      </c>
      <c r="B118" s="81" t="s">
        <v>70</v>
      </c>
      <c r="C118" s="82">
        <v>589.24</v>
      </c>
      <c r="D118" s="83">
        <v>66</v>
      </c>
      <c r="E118" s="83">
        <f t="shared" ref="E118:E126" si="0">D118*C118</f>
        <v>38889.840000000004</v>
      </c>
      <c r="F118" s="83">
        <f t="shared" ref="F118:F126" si="1">E118/22</f>
        <v>1767.7200000000003</v>
      </c>
      <c r="G118" s="84">
        <f>ROUND(F118/1200,2)</f>
        <v>1.47</v>
      </c>
    </row>
    <row r="119" spans="1:8">
      <c r="A119" s="80" t="s">
        <v>71</v>
      </c>
      <c r="B119" s="81" t="s">
        <v>72</v>
      </c>
      <c r="C119" s="82">
        <v>798.21</v>
      </c>
      <c r="D119" s="83">
        <v>66</v>
      </c>
      <c r="E119" s="83">
        <f t="shared" si="0"/>
        <v>52681.86</v>
      </c>
      <c r="F119" s="83">
        <f t="shared" si="1"/>
        <v>2394.63</v>
      </c>
      <c r="G119" s="84">
        <f t="shared" ref="G119:G126" si="2">F119/1200</f>
        <v>1.995525</v>
      </c>
    </row>
    <row r="120" spans="1:8">
      <c r="A120" s="80" t="s">
        <v>73</v>
      </c>
      <c r="B120" s="81" t="s">
        <v>74</v>
      </c>
      <c r="C120" s="82">
        <v>1048.0899999999999</v>
      </c>
      <c r="D120" s="83">
        <v>66</v>
      </c>
      <c r="E120" s="83">
        <f t="shared" si="0"/>
        <v>69173.939999999988</v>
      </c>
      <c r="F120" s="83">
        <f t="shared" si="1"/>
        <v>3144.2699999999995</v>
      </c>
      <c r="G120" s="84">
        <f t="shared" si="2"/>
        <v>2.6202249999999996</v>
      </c>
    </row>
    <row r="121" spans="1:8">
      <c r="A121" s="80" t="s">
        <v>75</v>
      </c>
      <c r="B121" s="81" t="s">
        <v>76</v>
      </c>
      <c r="C121" s="82">
        <v>61.62</v>
      </c>
      <c r="D121" s="83">
        <v>66</v>
      </c>
      <c r="E121" s="83">
        <f t="shared" si="0"/>
        <v>4066.9199999999996</v>
      </c>
      <c r="F121" s="83">
        <f t="shared" si="1"/>
        <v>184.85999999999999</v>
      </c>
      <c r="G121" s="84">
        <f t="shared" si="2"/>
        <v>0.15404999999999999</v>
      </c>
    </row>
    <row r="122" spans="1:8">
      <c r="A122" s="80" t="s">
        <v>77</v>
      </c>
      <c r="B122" s="81" t="s">
        <v>78</v>
      </c>
      <c r="C122" s="82">
        <v>495.07</v>
      </c>
      <c r="D122" s="83">
        <v>66</v>
      </c>
      <c r="E122" s="83">
        <f t="shared" si="0"/>
        <v>32674.62</v>
      </c>
      <c r="F122" s="83">
        <f t="shared" si="1"/>
        <v>1485.21</v>
      </c>
      <c r="G122" s="84">
        <f t="shared" si="2"/>
        <v>1.2376750000000001</v>
      </c>
    </row>
    <row r="123" spans="1:8" ht="39.6">
      <c r="A123" s="80" t="s">
        <v>79</v>
      </c>
      <c r="B123" s="81" t="s">
        <v>80</v>
      </c>
      <c r="C123" s="82">
        <v>426.24</v>
      </c>
      <c r="D123" s="83">
        <v>66</v>
      </c>
      <c r="E123" s="83">
        <f t="shared" si="0"/>
        <v>28131.84</v>
      </c>
      <c r="F123" s="83">
        <f t="shared" si="1"/>
        <v>1278.72</v>
      </c>
      <c r="G123" s="84">
        <f t="shared" si="2"/>
        <v>1.0656000000000001</v>
      </c>
    </row>
    <row r="124" spans="1:8">
      <c r="A124" s="80" t="s">
        <v>73</v>
      </c>
      <c r="B124" s="81" t="s">
        <v>81</v>
      </c>
      <c r="C124" s="82">
        <v>354.45</v>
      </c>
      <c r="D124" s="83">
        <v>22</v>
      </c>
      <c r="E124" s="83">
        <f t="shared" si="0"/>
        <v>7797.9</v>
      </c>
      <c r="F124" s="83">
        <f t="shared" si="1"/>
        <v>354.45</v>
      </c>
      <c r="G124" s="84">
        <f t="shared" si="2"/>
        <v>0.295375</v>
      </c>
    </row>
    <row r="125" spans="1:8">
      <c r="A125" s="80" t="s">
        <v>75</v>
      </c>
      <c r="B125" s="81" t="s">
        <v>82</v>
      </c>
      <c r="C125" s="82">
        <v>247.5</v>
      </c>
      <c r="D125" s="83">
        <v>44</v>
      </c>
      <c r="E125" s="83">
        <f t="shared" si="0"/>
        <v>10890</v>
      </c>
      <c r="F125" s="83">
        <f t="shared" si="1"/>
        <v>495</v>
      </c>
      <c r="G125" s="84">
        <f t="shared" si="2"/>
        <v>0.41249999999999998</v>
      </c>
    </row>
    <row r="126" spans="1:8">
      <c r="A126" s="80" t="s">
        <v>77</v>
      </c>
      <c r="B126" s="81" t="s">
        <v>83</v>
      </c>
      <c r="C126" s="82">
        <v>297.27999999999997</v>
      </c>
      <c r="D126" s="83">
        <v>44</v>
      </c>
      <c r="E126" s="83">
        <f t="shared" si="0"/>
        <v>13080.32</v>
      </c>
      <c r="F126" s="83">
        <f t="shared" si="1"/>
        <v>594.55999999999995</v>
      </c>
      <c r="G126" s="84">
        <f t="shared" si="2"/>
        <v>0.49546666666666661</v>
      </c>
    </row>
    <row r="127" spans="1:8" ht="8.25" customHeight="1">
      <c r="A127" s="85"/>
      <c r="B127" s="86"/>
      <c r="C127" s="87"/>
      <c r="D127" s="72"/>
      <c r="E127" s="72"/>
      <c r="F127" s="72"/>
      <c r="G127" s="88"/>
    </row>
    <row r="128" spans="1:8" ht="14.25" customHeight="1">
      <c r="A128" s="25" t="s">
        <v>84</v>
      </c>
      <c r="B128" s="25"/>
      <c r="C128" s="78">
        <f>SUM(C129:C132)</f>
        <v>2493.1799999999998</v>
      </c>
      <c r="D128" s="78">
        <f>SUM(D129:D132)</f>
        <v>88</v>
      </c>
      <c r="E128" s="78">
        <f>SUM(E129:E132)</f>
        <v>86534.580000000016</v>
      </c>
      <c r="F128" s="78">
        <f>SUM(F129:F132)</f>
        <v>3933.39</v>
      </c>
      <c r="G128" s="89">
        <f>SUM(G129:G131)</f>
        <v>3.277825</v>
      </c>
    </row>
    <row r="129" spans="1:7">
      <c r="A129" s="80" t="s">
        <v>85</v>
      </c>
      <c r="B129" s="81" t="s">
        <v>86</v>
      </c>
      <c r="C129" s="82">
        <v>1440.21</v>
      </c>
      <c r="D129" s="83">
        <v>44</v>
      </c>
      <c r="E129" s="83">
        <f>D129*C129</f>
        <v>63369.240000000005</v>
      </c>
      <c r="F129" s="83">
        <f>E129/22</f>
        <v>2880.42</v>
      </c>
      <c r="G129" s="84">
        <f>F129/1200</f>
        <v>2.40035</v>
      </c>
    </row>
    <row r="130" spans="1:7">
      <c r="A130" s="80" t="s">
        <v>87</v>
      </c>
      <c r="B130" s="81" t="s">
        <v>88</v>
      </c>
      <c r="C130" s="82">
        <v>824.53</v>
      </c>
      <c r="D130" s="83">
        <v>22</v>
      </c>
      <c r="E130" s="83">
        <f>D130*C130</f>
        <v>18139.66</v>
      </c>
      <c r="F130" s="83">
        <f>E130/22</f>
        <v>824.53</v>
      </c>
      <c r="G130" s="84">
        <f>F130/1200</f>
        <v>0.68710833333333332</v>
      </c>
    </row>
    <row r="131" spans="1:7">
      <c r="A131" s="80" t="s">
        <v>89</v>
      </c>
      <c r="B131" s="81" t="s">
        <v>81</v>
      </c>
      <c r="C131" s="82">
        <v>228.44</v>
      </c>
      <c r="D131" s="83">
        <v>22</v>
      </c>
      <c r="E131" s="83">
        <f>D131*C131</f>
        <v>5025.68</v>
      </c>
      <c r="F131" s="83">
        <f>E131/22</f>
        <v>228.44000000000003</v>
      </c>
      <c r="G131" s="84">
        <f>F131/1200</f>
        <v>0.19036666666666668</v>
      </c>
    </row>
    <row r="132" spans="1:7" ht="7.5" customHeight="1">
      <c r="A132" s="85"/>
      <c r="B132" s="86"/>
      <c r="C132" s="87"/>
      <c r="D132" s="72"/>
      <c r="E132" s="72"/>
      <c r="F132" s="72"/>
      <c r="G132" s="88"/>
    </row>
    <row r="133" spans="1:7" ht="14.25" customHeight="1">
      <c r="A133" s="25" t="s">
        <v>90</v>
      </c>
      <c r="B133" s="25"/>
      <c r="C133" s="78">
        <f>SUM(C134:C135)</f>
        <v>125.21000000000001</v>
      </c>
      <c r="D133" s="78">
        <f>SUM(D134:D135)</f>
        <v>44</v>
      </c>
      <c r="E133" s="78">
        <f>SUM(E134:E135)</f>
        <v>2754.62</v>
      </c>
      <c r="F133" s="78">
        <f>SUM(F134:F135)</f>
        <v>125.21000000000001</v>
      </c>
      <c r="G133" s="89">
        <f>SUM(G134,G135)</f>
        <v>0.10434166666666667</v>
      </c>
    </row>
    <row r="134" spans="1:7" ht="18" customHeight="1">
      <c r="A134" s="80" t="s">
        <v>91</v>
      </c>
      <c r="B134" s="81" t="s">
        <v>92</v>
      </c>
      <c r="C134" s="82">
        <v>65.290000000000006</v>
      </c>
      <c r="D134" s="83">
        <v>22</v>
      </c>
      <c r="E134" s="83">
        <f>D134*C134</f>
        <v>1436.38</v>
      </c>
      <c r="F134" s="83">
        <f>E134/22</f>
        <v>65.290000000000006</v>
      </c>
      <c r="G134" s="84">
        <f>F134/1200</f>
        <v>5.4408333333333336E-2</v>
      </c>
    </row>
    <row r="135" spans="1:7" ht="18" customHeight="1">
      <c r="A135" s="80" t="s">
        <v>93</v>
      </c>
      <c r="B135" s="81" t="s">
        <v>94</v>
      </c>
      <c r="C135" s="82">
        <v>59.92</v>
      </c>
      <c r="D135" s="83">
        <v>22</v>
      </c>
      <c r="E135" s="83">
        <f>D135*C135</f>
        <v>1318.24</v>
      </c>
      <c r="F135" s="83">
        <f>E135/22</f>
        <v>59.92</v>
      </c>
      <c r="G135" s="84">
        <f>F135/1200</f>
        <v>4.9933333333333337E-2</v>
      </c>
    </row>
    <row r="136" spans="1:7" ht="9.75" customHeight="1">
      <c r="A136" s="90"/>
      <c r="B136" s="86"/>
      <c r="C136" s="87"/>
      <c r="D136" s="72"/>
      <c r="E136" s="72"/>
      <c r="F136" s="72"/>
      <c r="G136" s="88"/>
    </row>
    <row r="137" spans="1:7" ht="14.25" customHeight="1">
      <c r="A137" s="25" t="s">
        <v>95</v>
      </c>
      <c r="B137" s="25"/>
      <c r="C137" s="78">
        <f>SUM(C138)</f>
        <v>32</v>
      </c>
      <c r="D137" s="78">
        <f>SUM(D138)</f>
        <v>22</v>
      </c>
      <c r="E137" s="78">
        <f>SUM(E138)</f>
        <v>704</v>
      </c>
      <c r="F137" s="78">
        <f>SUM(F138)</f>
        <v>32</v>
      </c>
      <c r="G137" s="89">
        <f>SUM(G138)</f>
        <v>2.6666666666666668E-2</v>
      </c>
    </row>
    <row r="138" spans="1:7" ht="18" customHeight="1">
      <c r="A138" s="80" t="s">
        <v>96</v>
      </c>
      <c r="B138" s="81" t="s">
        <v>97</v>
      </c>
      <c r="C138" s="82">
        <v>32</v>
      </c>
      <c r="D138" s="83">
        <v>22</v>
      </c>
      <c r="E138" s="83">
        <f>D138*C138</f>
        <v>704</v>
      </c>
      <c r="F138" s="83">
        <f>E138/22</f>
        <v>32</v>
      </c>
      <c r="G138" s="84">
        <f>F138/1200</f>
        <v>2.6666666666666668E-2</v>
      </c>
    </row>
    <row r="139" spans="1:7" ht="9.75" customHeight="1">
      <c r="A139" s="85"/>
      <c r="B139" s="86"/>
      <c r="C139" s="87"/>
      <c r="D139" s="72"/>
      <c r="E139" s="72"/>
      <c r="F139" s="72"/>
      <c r="G139" s="88"/>
    </row>
    <row r="140" spans="1:7" ht="14.25" customHeight="1">
      <c r="A140" s="25" t="s">
        <v>98</v>
      </c>
      <c r="B140" s="25"/>
      <c r="C140" s="78">
        <f>SUM(C141:C147)</f>
        <v>1306.1099999999999</v>
      </c>
      <c r="D140" s="78">
        <f>SUM(D141:D147)</f>
        <v>242</v>
      </c>
      <c r="E140" s="78">
        <f>SUM(E141:E147)</f>
        <v>59585.02</v>
      </c>
      <c r="F140" s="78">
        <f>SUM(F141:F147)</f>
        <v>2708.4100000000003</v>
      </c>
      <c r="G140" s="89">
        <f>SUM(G141:G146)</f>
        <v>2.2570083333333333</v>
      </c>
    </row>
    <row r="141" spans="1:7">
      <c r="A141" s="80" t="s">
        <v>99</v>
      </c>
      <c r="B141" s="81" t="s">
        <v>100</v>
      </c>
      <c r="C141" s="82">
        <v>312.89</v>
      </c>
      <c r="D141" s="83">
        <v>66</v>
      </c>
      <c r="E141" s="83">
        <f t="shared" ref="E141:E146" si="3">D141*C141</f>
        <v>20650.739999999998</v>
      </c>
      <c r="F141" s="83">
        <f t="shared" ref="F141:F146" si="4">E141/22</f>
        <v>938.67</v>
      </c>
      <c r="G141" s="84">
        <f t="shared" ref="G141:G146" si="5">F141/1200</f>
        <v>0.78222499999999995</v>
      </c>
    </row>
    <row r="142" spans="1:7">
      <c r="A142" s="80" t="s">
        <v>101</v>
      </c>
      <c r="B142" s="81" t="s">
        <v>102</v>
      </c>
      <c r="C142" s="82">
        <v>249.7</v>
      </c>
      <c r="D142" s="83">
        <v>66</v>
      </c>
      <c r="E142" s="83">
        <f t="shared" si="3"/>
        <v>16480.2</v>
      </c>
      <c r="F142" s="83">
        <f t="shared" si="4"/>
        <v>749.1</v>
      </c>
      <c r="G142" s="84">
        <f t="shared" si="5"/>
        <v>0.62424999999999997</v>
      </c>
    </row>
    <row r="143" spans="1:7" ht="21.75" customHeight="1">
      <c r="A143" s="80" t="s">
        <v>103</v>
      </c>
      <c r="B143" s="81" t="s">
        <v>104</v>
      </c>
      <c r="C143" s="82">
        <v>277.12</v>
      </c>
      <c r="D143" s="83">
        <v>44</v>
      </c>
      <c r="E143" s="83">
        <f t="shared" si="3"/>
        <v>12193.28</v>
      </c>
      <c r="F143" s="83">
        <f t="shared" si="4"/>
        <v>554.24</v>
      </c>
      <c r="G143" s="84">
        <f t="shared" si="5"/>
        <v>0.46186666666666665</v>
      </c>
    </row>
    <row r="144" spans="1:7">
      <c r="A144" s="80" t="s">
        <v>105</v>
      </c>
      <c r="B144" s="81" t="s">
        <v>106</v>
      </c>
      <c r="C144" s="82">
        <v>25.92</v>
      </c>
      <c r="D144" s="83">
        <v>22</v>
      </c>
      <c r="E144" s="83">
        <f t="shared" si="3"/>
        <v>570.24</v>
      </c>
      <c r="F144" s="83">
        <f t="shared" si="4"/>
        <v>25.92</v>
      </c>
      <c r="G144" s="84">
        <f t="shared" si="5"/>
        <v>2.1600000000000001E-2</v>
      </c>
    </row>
    <row r="145" spans="1:7">
      <c r="A145" s="80" t="s">
        <v>107</v>
      </c>
      <c r="B145" s="81" t="s">
        <v>108</v>
      </c>
      <c r="C145" s="82">
        <f>2.1+4.57</f>
        <v>6.67</v>
      </c>
      <c r="D145" s="83">
        <v>22</v>
      </c>
      <c r="E145" s="83">
        <f t="shared" si="3"/>
        <v>146.74</v>
      </c>
      <c r="F145" s="83">
        <f t="shared" si="4"/>
        <v>6.6700000000000008</v>
      </c>
      <c r="G145" s="84">
        <f t="shared" si="5"/>
        <v>5.5583333333333344E-3</v>
      </c>
    </row>
    <row r="146" spans="1:7">
      <c r="A146" s="80" t="s">
        <v>109</v>
      </c>
      <c r="B146" s="81" t="s">
        <v>110</v>
      </c>
      <c r="C146" s="82">
        <v>433.81</v>
      </c>
      <c r="D146" s="83">
        <v>22</v>
      </c>
      <c r="E146" s="83">
        <f t="shared" si="3"/>
        <v>9543.82</v>
      </c>
      <c r="F146" s="83">
        <f t="shared" si="4"/>
        <v>433.81</v>
      </c>
      <c r="G146" s="84">
        <f t="shared" si="5"/>
        <v>0.36150833333333332</v>
      </c>
    </row>
    <row r="147" spans="1:7" ht="9" customHeight="1">
      <c r="A147" s="85"/>
      <c r="B147" s="86"/>
      <c r="C147" s="87"/>
      <c r="D147" s="72"/>
      <c r="E147" s="72"/>
      <c r="F147" s="72"/>
      <c r="G147" s="88"/>
    </row>
    <row r="148" spans="1:7" ht="52.8">
      <c r="A148" s="73" t="s">
        <v>111</v>
      </c>
      <c r="B148" s="74" t="s">
        <v>112</v>
      </c>
      <c r="C148" s="75">
        <f>SUM(C149,C154,C158,C163)</f>
        <v>2558.65</v>
      </c>
      <c r="D148" s="75">
        <f>SUM(D149,D154,D158,D163)</f>
        <v>225</v>
      </c>
      <c r="E148" s="75">
        <f>SUM(E149,E154,E158,E163)</f>
        <v>60138.83</v>
      </c>
      <c r="F148" s="75">
        <f>ROUND(F149+F154+F158+F163,2)</f>
        <v>2733.58</v>
      </c>
      <c r="G148" s="76">
        <f>SUM(G149,G154,G158,G163)</f>
        <v>6.0746292929292931</v>
      </c>
    </row>
    <row r="149" spans="1:7">
      <c r="A149" s="91"/>
      <c r="B149" s="92" t="s">
        <v>68</v>
      </c>
      <c r="C149" s="78">
        <f>SUM(C150:C153)</f>
        <v>1657.33</v>
      </c>
      <c r="D149" s="78">
        <f>SUM(D150:D153)</f>
        <v>45</v>
      </c>
      <c r="E149" s="78">
        <f>SUM(E150:E153)</f>
        <v>36245.170000000006</v>
      </c>
      <c r="F149" s="78">
        <f>SUM(F150:F153)</f>
        <v>1647.5077272727272</v>
      </c>
      <c r="G149" s="89">
        <f>SUM(G150:G152)</f>
        <v>3.6611282828282832</v>
      </c>
    </row>
    <row r="150" spans="1:7" ht="26.4">
      <c r="A150" s="80" t="s">
        <v>113</v>
      </c>
      <c r="B150" s="81" t="s">
        <v>114</v>
      </c>
      <c r="C150" s="82">
        <f>1096.75+455.26</f>
        <v>1552.01</v>
      </c>
      <c r="D150" s="83">
        <v>22</v>
      </c>
      <c r="E150" s="83">
        <f>D150*C150</f>
        <v>34144.22</v>
      </c>
      <c r="F150" s="83">
        <f>E150/22</f>
        <v>1552.01</v>
      </c>
      <c r="G150" s="84">
        <f>F150/450</f>
        <v>3.4489111111111113</v>
      </c>
    </row>
    <row r="151" spans="1:7">
      <c r="A151" s="80" t="s">
        <v>115</v>
      </c>
      <c r="B151" s="81" t="s">
        <v>116</v>
      </c>
      <c r="C151" s="82">
        <v>95.03</v>
      </c>
      <c r="D151" s="83">
        <v>22</v>
      </c>
      <c r="E151" s="83">
        <f>D151*C151</f>
        <v>2090.66</v>
      </c>
      <c r="F151" s="83">
        <f>E151/22</f>
        <v>95.029999999999987</v>
      </c>
      <c r="G151" s="84">
        <f>F151/450</f>
        <v>0.21117777777777774</v>
      </c>
    </row>
    <row r="152" spans="1:7">
      <c r="A152" s="93" t="s">
        <v>117</v>
      </c>
      <c r="B152" s="94" t="s">
        <v>118</v>
      </c>
      <c r="C152" s="95">
        <v>10.29</v>
      </c>
      <c r="D152" s="96">
        <v>1</v>
      </c>
      <c r="E152" s="96">
        <f>D152*C152</f>
        <v>10.29</v>
      </c>
      <c r="F152" s="96">
        <f>E152/22</f>
        <v>0.46772727272727271</v>
      </c>
      <c r="G152" s="97">
        <f>F152/450</f>
        <v>1.0393939393939394E-3</v>
      </c>
    </row>
    <row r="153" spans="1:7" ht="9.75" customHeight="1">
      <c r="A153" s="85"/>
      <c r="B153" s="86"/>
      <c r="C153" s="87"/>
      <c r="D153" s="72"/>
      <c r="E153" s="72"/>
      <c r="F153" s="72"/>
      <c r="G153" s="88"/>
    </row>
    <row r="154" spans="1:7" ht="14.25" customHeight="1">
      <c r="A154" s="25" t="s">
        <v>84</v>
      </c>
      <c r="B154" s="25"/>
      <c r="C154" s="78">
        <f>SUM(C155:C157)</f>
        <v>311.89999999999998</v>
      </c>
      <c r="D154" s="78">
        <f>SUM(D155:D157)</f>
        <v>66</v>
      </c>
      <c r="E154" s="78">
        <f>SUM(E155:E157)</f>
        <v>13535.06</v>
      </c>
      <c r="F154" s="78">
        <f>SUM(F155:F157)</f>
        <v>615.23</v>
      </c>
      <c r="G154" s="89">
        <f>SUM(G155:G156)</f>
        <v>1.3671777777777776</v>
      </c>
    </row>
    <row r="155" spans="1:7">
      <c r="A155" s="80" t="s">
        <v>119</v>
      </c>
      <c r="B155" s="81" t="s">
        <v>120</v>
      </c>
      <c r="C155" s="82">
        <v>303.33</v>
      </c>
      <c r="D155" s="83">
        <v>44</v>
      </c>
      <c r="E155" s="83">
        <f>D155*C155</f>
        <v>13346.519999999999</v>
      </c>
      <c r="F155" s="83">
        <f>E155/22</f>
        <v>606.66</v>
      </c>
      <c r="G155" s="84">
        <f>F155/450</f>
        <v>1.3481333333333332</v>
      </c>
    </row>
    <row r="156" spans="1:7">
      <c r="A156" s="93" t="s">
        <v>121</v>
      </c>
      <c r="B156" s="94" t="s">
        <v>122</v>
      </c>
      <c r="C156" s="95">
        <v>8.57</v>
      </c>
      <c r="D156" s="96">
        <v>22</v>
      </c>
      <c r="E156" s="96">
        <f>D156*C156</f>
        <v>188.54000000000002</v>
      </c>
      <c r="F156" s="96">
        <f>E156/22</f>
        <v>8.57</v>
      </c>
      <c r="G156" s="97">
        <f>F156/450</f>
        <v>1.9044444444444444E-2</v>
      </c>
    </row>
    <row r="157" spans="1:7" ht="9.75" customHeight="1">
      <c r="A157" s="85"/>
      <c r="B157" s="86"/>
      <c r="C157" s="87"/>
      <c r="D157" s="72"/>
      <c r="E157" s="72"/>
      <c r="F157" s="72"/>
      <c r="G157" s="88"/>
    </row>
    <row r="158" spans="1:7" ht="14.25" customHeight="1">
      <c r="A158" s="25" t="s">
        <v>90</v>
      </c>
      <c r="B158" s="25"/>
      <c r="C158" s="78">
        <f>SUM(C159:C161)</f>
        <v>516.77</v>
      </c>
      <c r="D158" s="78">
        <f>SUM(D159:D161)</f>
        <v>44</v>
      </c>
      <c r="E158" s="78">
        <f>SUM(E159:E161)</f>
        <v>9091.9399999999987</v>
      </c>
      <c r="F158" s="78">
        <f>SUM(F159:F161)</f>
        <v>413.27</v>
      </c>
      <c r="G158" s="89">
        <f>SUM(G159:G161)</f>
        <v>0.91837777777777785</v>
      </c>
    </row>
    <row r="159" spans="1:7">
      <c r="A159" s="80" t="s">
        <v>123</v>
      </c>
      <c r="B159" s="81" t="s">
        <v>124</v>
      </c>
      <c r="C159" s="82">
        <v>103.5</v>
      </c>
      <c r="D159" s="83">
        <v>0</v>
      </c>
      <c r="E159" s="83">
        <f>D159*C159</f>
        <v>0</v>
      </c>
      <c r="F159" s="83">
        <f>E159/22</f>
        <v>0</v>
      </c>
      <c r="G159" s="84">
        <f>F159/450</f>
        <v>0</v>
      </c>
    </row>
    <row r="160" spans="1:7">
      <c r="A160" s="80" t="s">
        <v>125</v>
      </c>
      <c r="B160" s="81" t="s">
        <v>126</v>
      </c>
      <c r="C160" s="95">
        <v>321.51</v>
      </c>
      <c r="D160" s="83">
        <v>22</v>
      </c>
      <c r="E160" s="83">
        <f>D160*C160</f>
        <v>7073.2199999999993</v>
      </c>
      <c r="F160" s="83">
        <f>E160/22</f>
        <v>321.51</v>
      </c>
      <c r="G160" s="84">
        <f>F160/450</f>
        <v>0.71446666666666669</v>
      </c>
    </row>
    <row r="161" spans="1:7">
      <c r="A161" s="80" t="s">
        <v>127</v>
      </c>
      <c r="B161" s="94" t="s">
        <v>128</v>
      </c>
      <c r="C161" s="95">
        <v>91.76</v>
      </c>
      <c r="D161" s="96">
        <v>22</v>
      </c>
      <c r="E161" s="96">
        <f>D161*C161</f>
        <v>2018.72</v>
      </c>
      <c r="F161" s="96">
        <f>E161/22</f>
        <v>91.76</v>
      </c>
      <c r="G161" s="97">
        <f>F161/450</f>
        <v>0.20391111111111113</v>
      </c>
    </row>
    <row r="162" spans="1:7" ht="8.25" customHeight="1">
      <c r="A162" s="90"/>
      <c r="B162" s="98"/>
      <c r="C162" s="99"/>
      <c r="D162" s="100"/>
      <c r="E162" s="100"/>
      <c r="F162" s="100"/>
      <c r="G162" s="101"/>
    </row>
    <row r="163" spans="1:7" ht="14.25" customHeight="1">
      <c r="A163" s="25" t="s">
        <v>98</v>
      </c>
      <c r="B163" s="25"/>
      <c r="C163" s="78">
        <f>SUM(C164:C166)</f>
        <v>72.650000000000006</v>
      </c>
      <c r="D163" s="78">
        <f>SUM(D164:D166)</f>
        <v>70</v>
      </c>
      <c r="E163" s="78">
        <f>SUM(E164:E166)</f>
        <v>1266.6599999999999</v>
      </c>
      <c r="F163" s="78">
        <f>SUM(F164:F166)</f>
        <v>57.575454545454548</v>
      </c>
      <c r="G163" s="89">
        <f>SUM(G164:G166)</f>
        <v>0.12794545454545456</v>
      </c>
    </row>
    <row r="164" spans="1:7">
      <c r="A164" s="80" t="s">
        <v>129</v>
      </c>
      <c r="B164" s="81" t="s">
        <v>130</v>
      </c>
      <c r="C164" s="82">
        <v>37.979999999999997</v>
      </c>
      <c r="D164" s="83">
        <v>4</v>
      </c>
      <c r="E164" s="83">
        <f>D164*C164</f>
        <v>151.91999999999999</v>
      </c>
      <c r="F164" s="83">
        <f>E164/22</f>
        <v>6.9054545454545453</v>
      </c>
      <c r="G164" s="84">
        <f>F164/450</f>
        <v>1.5345454545454546E-2</v>
      </c>
    </row>
    <row r="165" spans="1:7" ht="26.4">
      <c r="A165" s="80" t="s">
        <v>131</v>
      </c>
      <c r="B165" s="81" t="s">
        <v>132</v>
      </c>
      <c r="C165" s="82">
        <v>16</v>
      </c>
      <c r="D165" s="83">
        <v>44</v>
      </c>
      <c r="E165" s="83">
        <f>D165*C165</f>
        <v>704</v>
      </c>
      <c r="F165" s="83">
        <f>E165/22</f>
        <v>32</v>
      </c>
      <c r="G165" s="84">
        <f>F165/450</f>
        <v>7.1111111111111111E-2</v>
      </c>
    </row>
    <row r="166" spans="1:7">
      <c r="A166" s="93" t="s">
        <v>133</v>
      </c>
      <c r="B166" s="94" t="s">
        <v>134</v>
      </c>
      <c r="C166" s="95">
        <v>18.670000000000002</v>
      </c>
      <c r="D166" s="96">
        <v>22</v>
      </c>
      <c r="E166" s="96">
        <f>D166*C166</f>
        <v>410.74</v>
      </c>
      <c r="F166" s="96">
        <f>E166/22</f>
        <v>18.670000000000002</v>
      </c>
      <c r="G166" s="97">
        <f>F166/450</f>
        <v>4.1488888888888895E-2</v>
      </c>
    </row>
    <row r="167" spans="1:7" ht="9.75" customHeight="1">
      <c r="A167" s="90"/>
      <c r="B167" s="102"/>
      <c r="C167" s="103"/>
      <c r="D167" s="104"/>
      <c r="E167" s="104"/>
      <c r="F167" s="104"/>
      <c r="G167" s="105"/>
    </row>
    <row r="168" spans="1:7" ht="39.6">
      <c r="A168" s="73" t="s">
        <v>135</v>
      </c>
      <c r="B168" s="74" t="s">
        <v>136</v>
      </c>
      <c r="C168" s="75">
        <f>SUM(C169,C173,C177,C180)</f>
        <v>15104.994999999999</v>
      </c>
      <c r="D168" s="75">
        <f>SUM(D169,D173,D177,D180)</f>
        <v>467</v>
      </c>
      <c r="E168" s="75">
        <f>SUM(E169,E173,E177,E180)</f>
        <v>52341.165000000001</v>
      </c>
      <c r="F168" s="75">
        <f>ROUND(F169+F173+F177+F180,2)</f>
        <v>2379.12</v>
      </c>
      <c r="G168" s="76">
        <f>SUM(G169,G173,G177,G180)</f>
        <v>0.11001454545454545</v>
      </c>
    </row>
    <row r="169" spans="1:7" ht="14.25" customHeight="1">
      <c r="A169" s="25" t="s">
        <v>68</v>
      </c>
      <c r="B169" s="25"/>
      <c r="C169" s="78">
        <f>SUM(C170:C171)</f>
        <v>209.14</v>
      </c>
      <c r="D169" s="78">
        <f>SUM(D170:D171)</f>
        <v>9</v>
      </c>
      <c r="E169" s="78">
        <f>SUM(E170:E171)</f>
        <v>1288.47</v>
      </c>
      <c r="F169" s="78">
        <f>SUM(F170:F171)</f>
        <v>58.566818181818185</v>
      </c>
      <c r="G169" s="89">
        <f>SUM(G170,G171)</f>
        <v>3.9044545454545457E-2</v>
      </c>
    </row>
    <row r="170" spans="1:7">
      <c r="A170" s="80" t="s">
        <v>137</v>
      </c>
      <c r="B170" s="81" t="s">
        <v>138</v>
      </c>
      <c r="C170" s="82">
        <v>154.19</v>
      </c>
      <c r="D170" s="83">
        <v>8</v>
      </c>
      <c r="E170" s="83">
        <f>D170*C170</f>
        <v>1233.52</v>
      </c>
      <c r="F170" s="83">
        <f>E170/22</f>
        <v>56.06909090909091</v>
      </c>
      <c r="G170" s="84">
        <f>F170/1500</f>
        <v>3.7379393939393941E-2</v>
      </c>
    </row>
    <row r="171" spans="1:7">
      <c r="A171" s="80" t="s">
        <v>139</v>
      </c>
      <c r="B171" s="81" t="s">
        <v>140</v>
      </c>
      <c r="C171" s="82">
        <v>54.95</v>
      </c>
      <c r="D171" s="83">
        <v>1</v>
      </c>
      <c r="E171" s="83">
        <f>D171*C171</f>
        <v>54.95</v>
      </c>
      <c r="F171" s="83">
        <f>E171/22</f>
        <v>2.497727272727273</v>
      </c>
      <c r="G171" s="84">
        <f>F171/1500</f>
        <v>1.6651515151515153E-3</v>
      </c>
    </row>
    <row r="172" spans="1:7" ht="9.75" customHeight="1">
      <c r="A172" s="85"/>
      <c r="B172" s="86"/>
      <c r="C172" s="87"/>
      <c r="D172" s="72"/>
      <c r="E172" s="72"/>
      <c r="F172" s="72"/>
      <c r="G172" s="88"/>
    </row>
    <row r="173" spans="1:7" ht="14.25" customHeight="1">
      <c r="A173" s="24" t="s">
        <v>84</v>
      </c>
      <c r="B173" s="24"/>
      <c r="C173" s="78">
        <f>SUM(C174:C184)</f>
        <v>8447.0450000000001</v>
      </c>
      <c r="D173" s="78">
        <f>SUM(D174:D184)</f>
        <v>247</v>
      </c>
      <c r="E173" s="78">
        <f>SUM(E174:E184)</f>
        <v>27462.004999999997</v>
      </c>
      <c r="F173" s="78">
        <f>SUM(F174:F184)</f>
        <v>1248.2613636363637</v>
      </c>
      <c r="G173" s="89">
        <f>SUM(G174:G175)</f>
        <v>6.1012727272727274E-2</v>
      </c>
    </row>
    <row r="174" spans="1:7">
      <c r="A174" s="80" t="s">
        <v>141</v>
      </c>
      <c r="B174" s="81" t="s">
        <v>138</v>
      </c>
      <c r="C174" s="82">
        <v>220.83</v>
      </c>
      <c r="D174" s="83">
        <v>4</v>
      </c>
      <c r="E174" s="83">
        <f>D174*C174</f>
        <v>883.32</v>
      </c>
      <c r="F174" s="83">
        <f>E174/22</f>
        <v>40.150909090909096</v>
      </c>
      <c r="G174" s="84">
        <f>F174/1500</f>
        <v>2.676727272727273E-2</v>
      </c>
    </row>
    <row r="175" spans="1:7">
      <c r="A175" s="80" t="s">
        <v>142</v>
      </c>
      <c r="B175" s="81" t="s">
        <v>143</v>
      </c>
      <c r="C175" s="82">
        <v>565.04999999999995</v>
      </c>
      <c r="D175" s="83">
        <v>2</v>
      </c>
      <c r="E175" s="83">
        <f>D175*C175</f>
        <v>1130.0999999999999</v>
      </c>
      <c r="F175" s="83">
        <f>E175/22</f>
        <v>51.368181818181817</v>
      </c>
      <c r="G175" s="84">
        <f>F175/1500</f>
        <v>3.4245454545454544E-2</v>
      </c>
    </row>
    <row r="176" spans="1:7" ht="8.25" customHeight="1">
      <c r="A176" s="85"/>
      <c r="B176" s="86"/>
      <c r="C176" s="87"/>
      <c r="D176" s="72"/>
      <c r="E176" s="72"/>
      <c r="F176" s="72"/>
      <c r="G176" s="88"/>
    </row>
    <row r="177" spans="1:7" ht="14.25" customHeight="1">
      <c r="A177" s="23" t="s">
        <v>90</v>
      </c>
      <c r="B177" s="23"/>
      <c r="C177" s="106">
        <f>SUM(C178:C180)</f>
        <v>3295.8049999999998</v>
      </c>
      <c r="D177" s="106">
        <f>SUM(D178:D180)</f>
        <v>106</v>
      </c>
      <c r="E177" s="106">
        <f>SUM(E178:E180)</f>
        <v>11866.744999999999</v>
      </c>
      <c r="F177" s="106">
        <f>SUM(F178:F180)</f>
        <v>539.39363636363646</v>
      </c>
      <c r="G177" s="107">
        <f>SUM(G178,G179)</f>
        <v>4.3272727272727273E-3</v>
      </c>
    </row>
    <row r="178" spans="1:7">
      <c r="A178" s="93" t="s">
        <v>144</v>
      </c>
      <c r="B178" s="94" t="s">
        <v>145</v>
      </c>
      <c r="C178" s="95">
        <v>142.80000000000001</v>
      </c>
      <c r="D178" s="96">
        <v>1</v>
      </c>
      <c r="E178" s="96">
        <f>D178*C178</f>
        <v>142.80000000000001</v>
      </c>
      <c r="F178" s="96">
        <f>E178/22</f>
        <v>6.4909090909090912</v>
      </c>
      <c r="G178" s="84">
        <f>F178/1500</f>
        <v>4.3272727272727273E-3</v>
      </c>
    </row>
    <row r="179" spans="1:7" ht="8.25" customHeight="1">
      <c r="A179" s="85"/>
      <c r="B179" s="86"/>
      <c r="C179" s="87"/>
      <c r="D179" s="72"/>
      <c r="E179" s="72"/>
      <c r="F179" s="72"/>
      <c r="G179" s="88"/>
    </row>
    <row r="180" spans="1:7" ht="14.25" customHeight="1">
      <c r="A180" s="25" t="s">
        <v>98</v>
      </c>
      <c r="B180" s="25"/>
      <c r="C180" s="78">
        <f>SUM(C181:C195)</f>
        <v>3153.0049999999997</v>
      </c>
      <c r="D180" s="78">
        <f>SUM(D181:D195)</f>
        <v>105</v>
      </c>
      <c r="E180" s="78">
        <f>SUM(E181:E195)</f>
        <v>11723.945</v>
      </c>
      <c r="F180" s="78">
        <f>SUM(F181:F195)</f>
        <v>532.90272727272736</v>
      </c>
      <c r="G180" s="89">
        <f>SUM(G181:G182)</f>
        <v>5.6299999999999996E-3</v>
      </c>
    </row>
    <row r="181" spans="1:7">
      <c r="A181" s="80" t="s">
        <v>146</v>
      </c>
      <c r="B181" s="81" t="s">
        <v>147</v>
      </c>
      <c r="C181" s="82">
        <v>82.06</v>
      </c>
      <c r="D181" s="83">
        <v>1</v>
      </c>
      <c r="E181" s="83">
        <f>D181*C181</f>
        <v>82.06</v>
      </c>
      <c r="F181" s="83">
        <f>E181/22</f>
        <v>3.73</v>
      </c>
      <c r="G181" s="84">
        <f>F181/1500</f>
        <v>2.4866666666666665E-3</v>
      </c>
    </row>
    <row r="182" spans="1:7">
      <c r="A182" s="80" t="s">
        <v>148</v>
      </c>
      <c r="B182" s="81" t="s">
        <v>149</v>
      </c>
      <c r="C182" s="82">
        <v>103.73</v>
      </c>
      <c r="D182" s="83">
        <v>1</v>
      </c>
      <c r="E182" s="83">
        <f>D182*C182</f>
        <v>103.73</v>
      </c>
      <c r="F182" s="83">
        <f>E182/22</f>
        <v>4.7149999999999999</v>
      </c>
      <c r="G182" s="84">
        <f>F182/1500</f>
        <v>3.143333333333333E-3</v>
      </c>
    </row>
    <row r="183" spans="1:7" ht="8.25" customHeight="1">
      <c r="A183" s="85"/>
      <c r="B183" s="86"/>
      <c r="C183" s="87"/>
      <c r="D183" s="72"/>
      <c r="E183" s="72"/>
      <c r="F183" s="72"/>
      <c r="G183" s="88"/>
    </row>
    <row r="184" spans="1:7" ht="52.8">
      <c r="A184" s="73" t="s">
        <v>150</v>
      </c>
      <c r="B184" s="74" t="s">
        <v>151</v>
      </c>
      <c r="C184" s="75">
        <f>SUM(C185,C192)</f>
        <v>883.7650000000001</v>
      </c>
      <c r="D184" s="75">
        <f>SUM(D185,D192)</f>
        <v>27</v>
      </c>
      <c r="E184" s="75">
        <f>SUM(E185,E192)</f>
        <v>1529.3050000000001</v>
      </c>
      <c r="F184" s="75">
        <f>ROUND(F185+F192,2)</f>
        <v>69.510000000000005</v>
      </c>
      <c r="G184" s="76">
        <f>SUM(G185,G192)</f>
        <v>0.2569559090909091</v>
      </c>
    </row>
    <row r="185" spans="1:7" ht="14.25" customHeight="1">
      <c r="A185" s="25" t="s">
        <v>90</v>
      </c>
      <c r="B185" s="25"/>
      <c r="C185" s="78">
        <f>SUM(C186:C190)</f>
        <v>853.02500000000009</v>
      </c>
      <c r="D185" s="78">
        <f>SUM(D186:D190)</f>
        <v>5</v>
      </c>
      <c r="E185" s="78">
        <f>SUM(E186:E190)</f>
        <v>853.02500000000009</v>
      </c>
      <c r="F185" s="78">
        <f>SUM(F186:F190)</f>
        <v>38.773863636363636</v>
      </c>
      <c r="G185" s="89">
        <f>SUM(G186:G190)</f>
        <v>2.584924242424242E-2</v>
      </c>
    </row>
    <row r="186" spans="1:7">
      <c r="A186" s="80" t="s">
        <v>152</v>
      </c>
      <c r="B186" s="81" t="s">
        <v>153</v>
      </c>
      <c r="C186" s="82">
        <f>112.5*4</f>
        <v>450</v>
      </c>
      <c r="D186" s="83">
        <v>1</v>
      </c>
      <c r="E186" s="83">
        <f>D186*C186</f>
        <v>450</v>
      </c>
      <c r="F186" s="83">
        <f>E186/22</f>
        <v>20.454545454545453</v>
      </c>
      <c r="G186" s="84">
        <f>F186/1500</f>
        <v>1.3636363636363636E-2</v>
      </c>
    </row>
    <row r="187" spans="1:7">
      <c r="A187" s="80" t="s">
        <v>154</v>
      </c>
      <c r="B187" s="81" t="s">
        <v>155</v>
      </c>
      <c r="C187" s="82">
        <f>89.42*2</f>
        <v>178.84</v>
      </c>
      <c r="D187" s="83">
        <v>1</v>
      </c>
      <c r="E187" s="83">
        <f>D187*C187</f>
        <v>178.84</v>
      </c>
      <c r="F187" s="83">
        <f>E187/22</f>
        <v>8.1290909090909089</v>
      </c>
      <c r="G187" s="84">
        <f>F187/1500</f>
        <v>5.4193939393939392E-3</v>
      </c>
    </row>
    <row r="188" spans="1:7">
      <c r="A188" s="80" t="s">
        <v>156</v>
      </c>
      <c r="B188" s="81" t="s">
        <v>157</v>
      </c>
      <c r="C188" s="82">
        <f>6.3*9.45</f>
        <v>59.534999999999997</v>
      </c>
      <c r="D188" s="83">
        <v>1</v>
      </c>
      <c r="E188" s="83">
        <f>D188*C188</f>
        <v>59.534999999999997</v>
      </c>
      <c r="F188" s="83">
        <f>E188/22</f>
        <v>2.7061363636363636</v>
      </c>
      <c r="G188" s="84">
        <f>F188/1500</f>
        <v>1.8040909090909091E-3</v>
      </c>
    </row>
    <row r="189" spans="1:7">
      <c r="A189" s="80" t="s">
        <v>158</v>
      </c>
      <c r="B189" s="81" t="s">
        <v>159</v>
      </c>
      <c r="C189" s="82">
        <v>97.33</v>
      </c>
      <c r="D189" s="83">
        <v>1</v>
      </c>
      <c r="E189" s="83">
        <f>D189*C189</f>
        <v>97.33</v>
      </c>
      <c r="F189" s="83">
        <f>E189/22</f>
        <v>4.4240909090909089</v>
      </c>
      <c r="G189" s="84">
        <f>F189/1500</f>
        <v>2.9493939393939392E-3</v>
      </c>
    </row>
    <row r="190" spans="1:7">
      <c r="A190" s="80" t="s">
        <v>160</v>
      </c>
      <c r="B190" s="81" t="s">
        <v>161</v>
      </c>
      <c r="C190" s="82">
        <v>67.319999999999993</v>
      </c>
      <c r="D190" s="83">
        <v>1</v>
      </c>
      <c r="E190" s="83">
        <f>D190*C190</f>
        <v>67.319999999999993</v>
      </c>
      <c r="F190" s="83">
        <f>E190/22</f>
        <v>3.0599999999999996</v>
      </c>
      <c r="G190" s="84">
        <f>F190/1500</f>
        <v>2.0399999999999997E-3</v>
      </c>
    </row>
    <row r="191" spans="1:7" ht="8.25" customHeight="1">
      <c r="A191" s="90"/>
      <c r="B191" s="86"/>
      <c r="C191" s="87"/>
      <c r="D191" s="72"/>
      <c r="E191" s="72"/>
      <c r="F191" s="72"/>
      <c r="G191" s="88"/>
    </row>
    <row r="192" spans="1:7" ht="14.25" customHeight="1">
      <c r="A192" s="23" t="s">
        <v>95</v>
      </c>
      <c r="B192" s="23"/>
      <c r="C192" s="106">
        <f>SUM(C193)</f>
        <v>30.74</v>
      </c>
      <c r="D192" s="106">
        <f>SUM(D193)</f>
        <v>22</v>
      </c>
      <c r="E192" s="106">
        <f>SUM(E193)</f>
        <v>676.28</v>
      </c>
      <c r="F192" s="106">
        <f>SUM(F193)</f>
        <v>30.74</v>
      </c>
      <c r="G192" s="107">
        <f>SUM(G193:G194)</f>
        <v>0.23110666666666668</v>
      </c>
    </row>
    <row r="193" spans="1:7">
      <c r="A193" s="93" t="s">
        <v>162</v>
      </c>
      <c r="B193" s="94" t="s">
        <v>163</v>
      </c>
      <c r="C193" s="95">
        <v>30.74</v>
      </c>
      <c r="D193" s="96">
        <v>22</v>
      </c>
      <c r="E193" s="96">
        <f>D193*C193</f>
        <v>676.28</v>
      </c>
      <c r="F193" s="96">
        <f>E193/22</f>
        <v>30.74</v>
      </c>
      <c r="G193" s="84">
        <f>F193/1500</f>
        <v>2.0493333333333332E-2</v>
      </c>
    </row>
    <row r="194" spans="1:7">
      <c r="A194" s="93" t="s">
        <v>164</v>
      </c>
      <c r="B194" s="81" t="s">
        <v>97</v>
      </c>
      <c r="C194" s="82">
        <f>84.4+231.52</f>
        <v>315.92</v>
      </c>
      <c r="D194" s="83">
        <v>22</v>
      </c>
      <c r="E194" s="83">
        <f>D194*C194</f>
        <v>6950.2400000000007</v>
      </c>
      <c r="F194" s="83">
        <f>E194/22</f>
        <v>315.92</v>
      </c>
      <c r="G194" s="84">
        <f>F194/1500</f>
        <v>0.21061333333333335</v>
      </c>
    </row>
    <row r="195" spans="1:7" ht="7.5" customHeight="1">
      <c r="A195" s="85"/>
      <c r="B195" s="86"/>
      <c r="C195" s="87"/>
      <c r="D195" s="72"/>
      <c r="E195" s="72"/>
      <c r="F195" s="72"/>
      <c r="G195" s="88"/>
    </row>
    <row r="196" spans="1:7" ht="52.8">
      <c r="A196" s="73" t="s">
        <v>165</v>
      </c>
      <c r="B196" s="74" t="s">
        <v>166</v>
      </c>
      <c r="C196" s="75">
        <f>SUM(C197,C204,C208)</f>
        <v>5106.2800000000007</v>
      </c>
      <c r="D196" s="108"/>
      <c r="E196" s="108"/>
      <c r="F196" s="75">
        <f>ROUND(F197+F204+F208,2)</f>
        <v>5131.99</v>
      </c>
      <c r="G196" s="76">
        <f>SUM(G197,G204,G208)</f>
        <v>3.4213248484848489</v>
      </c>
    </row>
    <row r="197" spans="1:7" ht="14.25" customHeight="1">
      <c r="A197" s="25" t="s">
        <v>68</v>
      </c>
      <c r="B197" s="25"/>
      <c r="C197" s="78">
        <f>SUM(C198:C203)</f>
        <v>1961.25</v>
      </c>
      <c r="D197" s="78">
        <f>SUM(D198:D203)</f>
        <v>110</v>
      </c>
      <c r="E197" s="78">
        <f>SUM(E198:E203)</f>
        <v>43147.5</v>
      </c>
      <c r="F197" s="78">
        <f>SUM(F198:F203)</f>
        <v>1961.25</v>
      </c>
      <c r="G197" s="89">
        <f>SUM(G198:G202)</f>
        <v>1.3075000000000001</v>
      </c>
    </row>
    <row r="198" spans="1:7">
      <c r="A198" s="80" t="s">
        <v>167</v>
      </c>
      <c r="B198" s="81" t="s">
        <v>168</v>
      </c>
      <c r="C198" s="82">
        <v>810.64</v>
      </c>
      <c r="D198" s="83">
        <v>22</v>
      </c>
      <c r="E198" s="83">
        <f>D198*C198</f>
        <v>17834.079999999998</v>
      </c>
      <c r="F198" s="83">
        <f>E198/22</f>
        <v>810.63999999999987</v>
      </c>
      <c r="G198" s="84">
        <f>F198/1500</f>
        <v>0.54042666666666661</v>
      </c>
    </row>
    <row r="199" spans="1:7" ht="26.4">
      <c r="A199" s="80" t="s">
        <v>169</v>
      </c>
      <c r="B199" s="81" t="s">
        <v>170</v>
      </c>
      <c r="C199" s="82">
        <v>851.13</v>
      </c>
      <c r="D199" s="83">
        <v>22</v>
      </c>
      <c r="E199" s="83">
        <f>D199*C199</f>
        <v>18724.86</v>
      </c>
      <c r="F199" s="83">
        <f>E199/22</f>
        <v>851.13</v>
      </c>
      <c r="G199" s="84">
        <f>F199/1500</f>
        <v>0.56742000000000004</v>
      </c>
    </row>
    <row r="200" spans="1:7">
      <c r="A200" s="80" t="s">
        <v>171</v>
      </c>
      <c r="B200" s="81" t="s">
        <v>172</v>
      </c>
      <c r="C200" s="82">
        <v>56.79</v>
      </c>
      <c r="D200" s="83">
        <v>22</v>
      </c>
      <c r="E200" s="83">
        <f>D200*C200</f>
        <v>1249.3799999999999</v>
      </c>
      <c r="F200" s="83">
        <f>E200/22</f>
        <v>56.789999999999992</v>
      </c>
      <c r="G200" s="84">
        <f>F200/1500</f>
        <v>3.7859999999999998E-2</v>
      </c>
    </row>
    <row r="201" spans="1:7">
      <c r="A201" s="80" t="s">
        <v>173</v>
      </c>
      <c r="B201" s="81" t="s">
        <v>174</v>
      </c>
      <c r="C201" s="82">
        <v>146.68</v>
      </c>
      <c r="D201" s="83">
        <v>22</v>
      </c>
      <c r="E201" s="83">
        <f>D201*C201</f>
        <v>3226.96</v>
      </c>
      <c r="F201" s="83">
        <f>E201/22</f>
        <v>146.68</v>
      </c>
      <c r="G201" s="84">
        <f>F201/1500</f>
        <v>9.7786666666666675E-2</v>
      </c>
    </row>
    <row r="202" spans="1:7">
      <c r="A202" s="80" t="s">
        <v>175</v>
      </c>
      <c r="B202" s="81" t="s">
        <v>176</v>
      </c>
      <c r="C202" s="82">
        <v>96.01</v>
      </c>
      <c r="D202" s="83">
        <v>22</v>
      </c>
      <c r="E202" s="83">
        <f>D202*C202</f>
        <v>2112.2200000000003</v>
      </c>
      <c r="F202" s="83">
        <f>E202/22</f>
        <v>96.01</v>
      </c>
      <c r="G202" s="84">
        <f>F202/1500</f>
        <v>6.400666666666667E-2</v>
      </c>
    </row>
    <row r="203" spans="1:7" ht="7.5" customHeight="1">
      <c r="A203" s="90"/>
      <c r="B203" s="86"/>
      <c r="C203" s="87"/>
      <c r="D203" s="72"/>
      <c r="E203" s="72"/>
      <c r="F203" s="72"/>
      <c r="G203" s="88"/>
    </row>
    <row r="204" spans="1:7" ht="14.25" customHeight="1">
      <c r="A204" s="25" t="s">
        <v>84</v>
      </c>
      <c r="B204" s="25"/>
      <c r="C204" s="78">
        <f>SUM(C205:C206)</f>
        <v>2359.19</v>
      </c>
      <c r="D204" s="78">
        <f>SUM(D205:D206)</f>
        <v>45</v>
      </c>
      <c r="E204" s="78">
        <f>SUM(E205:E206)</f>
        <v>50922.960000000006</v>
      </c>
      <c r="F204" s="78">
        <f>SUM(F205:F206)</f>
        <v>2314.6800000000003</v>
      </c>
      <c r="G204" s="89">
        <f>SUM(G205:G206)</f>
        <v>1.54312</v>
      </c>
    </row>
    <row r="205" spans="1:7">
      <c r="A205" s="80" t="s">
        <v>177</v>
      </c>
      <c r="B205" s="81" t="s">
        <v>178</v>
      </c>
      <c r="C205" s="82">
        <v>1129.3900000000001</v>
      </c>
      <c r="D205" s="83">
        <v>44</v>
      </c>
      <c r="E205" s="83">
        <f>D205*C205</f>
        <v>49693.16</v>
      </c>
      <c r="F205" s="83">
        <f>E205/22</f>
        <v>2258.7800000000002</v>
      </c>
      <c r="G205" s="84">
        <f>F205/1500</f>
        <v>1.5058533333333335</v>
      </c>
    </row>
    <row r="206" spans="1:7">
      <c r="A206" s="80" t="s">
        <v>179</v>
      </c>
      <c r="B206" s="81" t="s">
        <v>180</v>
      </c>
      <c r="C206" s="82">
        <v>1229.8</v>
      </c>
      <c r="D206" s="83">
        <v>1</v>
      </c>
      <c r="E206" s="83">
        <f>D206*C206</f>
        <v>1229.8</v>
      </c>
      <c r="F206" s="83">
        <f>E206/22</f>
        <v>55.9</v>
      </c>
      <c r="G206" s="84">
        <f>F206/1500</f>
        <v>3.7266666666666663E-2</v>
      </c>
    </row>
    <row r="207" spans="1:7" ht="8.25" customHeight="1">
      <c r="A207" s="85"/>
      <c r="B207" s="86"/>
      <c r="C207" s="87"/>
      <c r="D207" s="72"/>
      <c r="E207" s="72"/>
      <c r="F207" s="72"/>
      <c r="G207" s="88"/>
    </row>
    <row r="208" spans="1:7" ht="14.25" customHeight="1">
      <c r="A208" s="25" t="s">
        <v>98</v>
      </c>
      <c r="B208" s="25"/>
      <c r="C208" s="78">
        <f>SUM(C209:C211)</f>
        <v>785.84</v>
      </c>
      <c r="D208" s="78">
        <f>SUM(D209:D211)</f>
        <v>46</v>
      </c>
      <c r="E208" s="78">
        <f>SUM(E209:E211)</f>
        <v>18833.260000000002</v>
      </c>
      <c r="F208" s="78">
        <f>SUM(F209:F211)</f>
        <v>856.05727272727279</v>
      </c>
      <c r="G208" s="89">
        <f>SUM(G209:G210)</f>
        <v>0.57070484848484859</v>
      </c>
    </row>
    <row r="209" spans="1:7">
      <c r="A209" s="80" t="s">
        <v>181</v>
      </c>
      <c r="B209" s="81" t="s">
        <v>182</v>
      </c>
      <c r="C209" s="82">
        <v>410.99</v>
      </c>
      <c r="D209" s="83">
        <v>44</v>
      </c>
      <c r="E209" s="83">
        <f>D209*C209</f>
        <v>18083.560000000001</v>
      </c>
      <c r="F209" s="83">
        <f>E209/22</f>
        <v>821.98</v>
      </c>
      <c r="G209" s="84">
        <f>F209/1500</f>
        <v>0.54798666666666673</v>
      </c>
    </row>
    <row r="210" spans="1:7">
      <c r="A210" s="80" t="s">
        <v>183</v>
      </c>
      <c r="B210" s="81" t="s">
        <v>184</v>
      </c>
      <c r="C210" s="82">
        <v>374.85</v>
      </c>
      <c r="D210" s="83">
        <v>2</v>
      </c>
      <c r="E210" s="83">
        <f>D210*C210</f>
        <v>749.7</v>
      </c>
      <c r="F210" s="83">
        <f>E210/22</f>
        <v>34.077272727272728</v>
      </c>
      <c r="G210" s="84">
        <f>F210/1500</f>
        <v>2.2718181818181818E-2</v>
      </c>
    </row>
    <row r="211" spans="1:7" ht="9" customHeight="1">
      <c r="A211" s="85"/>
      <c r="B211" s="86"/>
      <c r="C211" s="87"/>
      <c r="D211" s="72"/>
      <c r="E211" s="72"/>
      <c r="F211" s="72"/>
      <c r="G211" s="88"/>
    </row>
    <row r="212" spans="1:7" ht="52.8">
      <c r="A212" s="73" t="s">
        <v>185</v>
      </c>
      <c r="B212" s="74" t="s">
        <v>186</v>
      </c>
      <c r="C212" s="75">
        <f>SUM(C213,C220,C224,C230,C234)</f>
        <v>517.05999999999995</v>
      </c>
      <c r="D212" s="108"/>
      <c r="E212" s="108"/>
      <c r="F212" s="75">
        <f>ROUND(F213+F220+F224+F230+F234,2)</f>
        <v>1153.1600000000001</v>
      </c>
      <c r="G212" s="76">
        <f>SUM(G213,G220,G224,G230,G234)</f>
        <v>5.7657999999999996</v>
      </c>
    </row>
    <row r="213" spans="1:7" ht="14.25" customHeight="1">
      <c r="A213" s="25" t="s">
        <v>68</v>
      </c>
      <c r="B213" s="25"/>
      <c r="C213" s="78">
        <f>SUM(C214:C219)</f>
        <v>261.79999999999995</v>
      </c>
      <c r="D213" s="78">
        <f>SUM(D214:D219)</f>
        <v>220</v>
      </c>
      <c r="E213" s="78">
        <f>SUM(E214:E219)</f>
        <v>13322.759999999998</v>
      </c>
      <c r="F213" s="78">
        <f>SUM(F214:F219)</f>
        <v>605.57999999999993</v>
      </c>
      <c r="G213" s="89">
        <f>SUM(G214:G218)</f>
        <v>3.0278999999999998</v>
      </c>
    </row>
    <row r="214" spans="1:7" ht="26.4">
      <c r="A214" s="80" t="s">
        <v>187</v>
      </c>
      <c r="B214" s="81" t="s">
        <v>188</v>
      </c>
      <c r="C214" s="82">
        <f>100.74</f>
        <v>100.74</v>
      </c>
      <c r="D214" s="83">
        <v>66</v>
      </c>
      <c r="E214" s="83">
        <f>D214*C214</f>
        <v>6648.8399999999992</v>
      </c>
      <c r="F214" s="83">
        <f>E214/22</f>
        <v>302.21999999999997</v>
      </c>
      <c r="G214" s="84">
        <f>F214/200</f>
        <v>1.5110999999999999</v>
      </c>
    </row>
    <row r="215" spans="1:7" ht="26.4">
      <c r="A215" s="80" t="s">
        <v>189</v>
      </c>
      <c r="B215" s="81" t="s">
        <v>190</v>
      </c>
      <c r="C215" s="82">
        <v>89.49</v>
      </c>
      <c r="D215" s="83">
        <v>44</v>
      </c>
      <c r="E215" s="83">
        <f>D215*C215</f>
        <v>3937.56</v>
      </c>
      <c r="F215" s="83">
        <f>E215/22</f>
        <v>178.98</v>
      </c>
      <c r="G215" s="84">
        <f>F215/200</f>
        <v>0.89489999999999992</v>
      </c>
    </row>
    <row r="216" spans="1:7">
      <c r="A216" s="80" t="s">
        <v>191</v>
      </c>
      <c r="B216" s="81" t="s">
        <v>81</v>
      </c>
      <c r="C216" s="82">
        <v>18.760000000000002</v>
      </c>
      <c r="D216" s="83">
        <v>22</v>
      </c>
      <c r="E216" s="83">
        <f>D216*C216</f>
        <v>412.72</v>
      </c>
      <c r="F216" s="83">
        <f>E216/22</f>
        <v>18.760000000000002</v>
      </c>
      <c r="G216" s="84">
        <f>F216/200</f>
        <v>9.3800000000000008E-2</v>
      </c>
    </row>
    <row r="217" spans="1:7">
      <c r="A217" s="80" t="s">
        <v>192</v>
      </c>
      <c r="B217" s="81" t="s">
        <v>193</v>
      </c>
      <c r="C217" s="82">
        <v>32.81</v>
      </c>
      <c r="D217" s="83">
        <v>44</v>
      </c>
      <c r="E217" s="83">
        <f>D217*C217</f>
        <v>1443.64</v>
      </c>
      <c r="F217" s="83">
        <f>E217/22</f>
        <v>65.62</v>
      </c>
      <c r="G217" s="84">
        <f>F217/200</f>
        <v>0.3281</v>
      </c>
    </row>
    <row r="218" spans="1:7">
      <c r="A218" s="80" t="s">
        <v>194</v>
      </c>
      <c r="B218" s="81" t="s">
        <v>83</v>
      </c>
      <c r="C218" s="82">
        <v>20</v>
      </c>
      <c r="D218" s="83">
        <v>44</v>
      </c>
      <c r="E218" s="83">
        <f>D218*C218</f>
        <v>880</v>
      </c>
      <c r="F218" s="83">
        <f>E218/22</f>
        <v>40</v>
      </c>
      <c r="G218" s="84">
        <f>F218/200</f>
        <v>0.2</v>
      </c>
    </row>
    <row r="219" spans="1:7" ht="7.5" customHeight="1">
      <c r="A219" s="85"/>
      <c r="B219" s="86"/>
      <c r="C219" s="87"/>
      <c r="D219" s="72"/>
      <c r="E219" s="72"/>
      <c r="F219" s="72"/>
      <c r="G219" s="88"/>
    </row>
    <row r="220" spans="1:7" ht="14.25" customHeight="1">
      <c r="A220" s="25" t="s">
        <v>84</v>
      </c>
      <c r="B220" s="25"/>
      <c r="C220" s="78">
        <f>SUM(C221:C223)</f>
        <v>111.06</v>
      </c>
      <c r="D220" s="78">
        <f>SUM(D221:D223)</f>
        <v>88</v>
      </c>
      <c r="E220" s="78">
        <f>SUM(E221:E223)</f>
        <v>4886.6400000000003</v>
      </c>
      <c r="F220" s="78">
        <f>SUM(F221:F223)</f>
        <v>222.12</v>
      </c>
      <c r="G220" s="89">
        <f>SUM(G221:G222)</f>
        <v>1.1106</v>
      </c>
    </row>
    <row r="221" spans="1:7">
      <c r="A221" s="80" t="s">
        <v>195</v>
      </c>
      <c r="B221" s="81" t="s">
        <v>196</v>
      </c>
      <c r="C221" s="82">
        <v>111.06</v>
      </c>
      <c r="D221" s="83">
        <v>44</v>
      </c>
      <c r="E221" s="83">
        <f>D221*C221</f>
        <v>4886.6400000000003</v>
      </c>
      <c r="F221" s="83">
        <f>E221/22</f>
        <v>222.12</v>
      </c>
      <c r="G221" s="84">
        <f>F221/200</f>
        <v>1.1106</v>
      </c>
    </row>
    <row r="222" spans="1:7">
      <c r="A222" s="80" t="s">
        <v>197</v>
      </c>
      <c r="B222" s="81" t="s">
        <v>120</v>
      </c>
      <c r="C222" s="82">
        <v>0</v>
      </c>
      <c r="D222" s="83">
        <v>44</v>
      </c>
      <c r="E222" s="83">
        <f>D222*C222</f>
        <v>0</v>
      </c>
      <c r="F222" s="83">
        <f>E222/22</f>
        <v>0</v>
      </c>
      <c r="G222" s="84">
        <f>F222/200</f>
        <v>0</v>
      </c>
    </row>
    <row r="223" spans="1:7" ht="7.5" customHeight="1">
      <c r="A223" s="85"/>
      <c r="B223" s="86"/>
      <c r="C223" s="87"/>
      <c r="D223" s="72"/>
      <c r="E223" s="72"/>
      <c r="F223" s="72"/>
      <c r="G223" s="88"/>
    </row>
    <row r="224" spans="1:7" ht="14.25" customHeight="1">
      <c r="A224" s="25" t="s">
        <v>90</v>
      </c>
      <c r="B224" s="25"/>
      <c r="C224" s="78">
        <f>SUM(C225:C228)</f>
        <v>28.02</v>
      </c>
      <c r="D224" s="78">
        <f>SUM(D225:D228)</f>
        <v>110</v>
      </c>
      <c r="E224" s="78">
        <f>SUM(E225:E228)</f>
        <v>749.31999999999994</v>
      </c>
      <c r="F224" s="78">
        <f>SUM(F225:F228)</f>
        <v>34.06</v>
      </c>
      <c r="G224" s="89">
        <f>SUM(G225:G228)</f>
        <v>0.17030000000000001</v>
      </c>
    </row>
    <row r="225" spans="1:9">
      <c r="A225" s="80" t="s">
        <v>198</v>
      </c>
      <c r="B225" s="81" t="s">
        <v>92</v>
      </c>
      <c r="C225" s="82">
        <v>6.04</v>
      </c>
      <c r="D225" s="83">
        <v>44</v>
      </c>
      <c r="E225" s="83">
        <f>D225*C225</f>
        <v>265.76</v>
      </c>
      <c r="F225" s="83">
        <f>E225/22</f>
        <v>12.08</v>
      </c>
      <c r="G225" s="84">
        <f>F225/200</f>
        <v>6.0400000000000002E-2</v>
      </c>
    </row>
    <row r="226" spans="1:9">
      <c r="A226" s="80" t="s">
        <v>199</v>
      </c>
      <c r="B226" s="81" t="s">
        <v>126</v>
      </c>
      <c r="C226" s="82">
        <v>4.53</v>
      </c>
      <c r="D226" s="83">
        <v>22</v>
      </c>
      <c r="E226" s="83">
        <f>D226*C226</f>
        <v>99.660000000000011</v>
      </c>
      <c r="F226" s="83">
        <f>E226/22</f>
        <v>4.53</v>
      </c>
      <c r="G226" s="84">
        <f>F226/200</f>
        <v>2.265E-2</v>
      </c>
    </row>
    <row r="227" spans="1:9">
      <c r="A227" s="80" t="s">
        <v>200</v>
      </c>
      <c r="B227" s="81" t="s">
        <v>128</v>
      </c>
      <c r="C227" s="82">
        <v>8.6999999999999993</v>
      </c>
      <c r="D227" s="83">
        <v>22</v>
      </c>
      <c r="E227" s="83">
        <f>D227*C227</f>
        <v>191.39999999999998</v>
      </c>
      <c r="F227" s="83">
        <f>E227/22</f>
        <v>8.6999999999999993</v>
      </c>
      <c r="G227" s="84">
        <f>F227/200</f>
        <v>4.3499999999999997E-2</v>
      </c>
    </row>
    <row r="228" spans="1:9">
      <c r="A228" s="80" t="s">
        <v>201</v>
      </c>
      <c r="B228" s="81" t="s">
        <v>145</v>
      </c>
      <c r="C228" s="82">
        <v>8.75</v>
      </c>
      <c r="D228" s="83">
        <v>22</v>
      </c>
      <c r="E228" s="83">
        <f>D228*C228</f>
        <v>192.5</v>
      </c>
      <c r="F228" s="83">
        <f>E228/22</f>
        <v>8.75</v>
      </c>
      <c r="G228" s="84">
        <f>F228/200</f>
        <v>4.3749999999999997E-2</v>
      </c>
    </row>
    <row r="229" spans="1:9" ht="8.25" customHeight="1">
      <c r="A229" s="90"/>
      <c r="B229" s="86"/>
      <c r="C229" s="87"/>
      <c r="D229" s="72"/>
      <c r="E229" s="72"/>
      <c r="F229" s="72"/>
      <c r="G229" s="88"/>
    </row>
    <row r="230" spans="1:9" ht="14.25" customHeight="1">
      <c r="A230" s="25" t="s">
        <v>95</v>
      </c>
      <c r="B230" s="25"/>
      <c r="C230" s="78">
        <f>SUM(C231:C232)</f>
        <v>21.57</v>
      </c>
      <c r="D230" s="78">
        <f>SUM(D231:D232)</f>
        <v>66</v>
      </c>
      <c r="E230" s="78">
        <f>SUM(E231:E232)</f>
        <v>720.93999999999994</v>
      </c>
      <c r="F230" s="78">
        <f>SUM(F231:F232)</f>
        <v>32.769999999999996</v>
      </c>
      <c r="G230" s="89">
        <f>SUM(G231:G232)</f>
        <v>0.16385</v>
      </c>
    </row>
    <row r="231" spans="1:9">
      <c r="A231" s="80" t="s">
        <v>202</v>
      </c>
      <c r="B231" s="81" t="s">
        <v>97</v>
      </c>
      <c r="C231" s="82">
        <v>11.2</v>
      </c>
      <c r="D231" s="83">
        <v>44</v>
      </c>
      <c r="E231" s="83">
        <f>D231*C231</f>
        <v>492.79999999999995</v>
      </c>
      <c r="F231" s="83">
        <f>E231/22</f>
        <v>22.4</v>
      </c>
      <c r="G231" s="84">
        <f>F231/200</f>
        <v>0.11199999999999999</v>
      </c>
    </row>
    <row r="232" spans="1:9">
      <c r="A232" s="80" t="s">
        <v>203</v>
      </c>
      <c r="B232" s="81" t="s">
        <v>163</v>
      </c>
      <c r="C232" s="82">
        <v>10.37</v>
      </c>
      <c r="D232" s="83">
        <v>22</v>
      </c>
      <c r="E232" s="83">
        <f>D232*C232</f>
        <v>228.14</v>
      </c>
      <c r="F232" s="83">
        <f>E232/22</f>
        <v>10.37</v>
      </c>
      <c r="G232" s="84">
        <f>F232/200</f>
        <v>5.1849999999999993E-2</v>
      </c>
    </row>
    <row r="233" spans="1:9" ht="8.25" customHeight="1">
      <c r="A233" s="85"/>
      <c r="B233" s="86"/>
      <c r="C233" s="87"/>
      <c r="D233" s="72"/>
      <c r="E233" s="72"/>
      <c r="F233" s="72"/>
      <c r="G233" s="88"/>
    </row>
    <row r="234" spans="1:9" ht="14.25" customHeight="1">
      <c r="A234" s="25" t="s">
        <v>98</v>
      </c>
      <c r="B234" s="25"/>
      <c r="C234" s="78">
        <f>SUM(C235:C237)</f>
        <v>94.609999999999985</v>
      </c>
      <c r="D234" s="78">
        <f>SUM(D235:D237)</f>
        <v>154</v>
      </c>
      <c r="E234" s="78">
        <f>SUM(E235:E237)</f>
        <v>5689.86</v>
      </c>
      <c r="F234" s="78">
        <f>SUM(F235:F237)</f>
        <v>258.63</v>
      </c>
      <c r="G234" s="89">
        <f>SUM(G235:G237)</f>
        <v>1.2931499999999998</v>
      </c>
    </row>
    <row r="235" spans="1:9">
      <c r="A235" s="80" t="s">
        <v>204</v>
      </c>
      <c r="B235" s="81" t="s">
        <v>106</v>
      </c>
      <c r="C235" s="82">
        <v>12.6</v>
      </c>
      <c r="D235" s="83">
        <v>22</v>
      </c>
      <c r="E235" s="83">
        <f>D235*C235</f>
        <v>277.2</v>
      </c>
      <c r="F235" s="83">
        <f>E235/22</f>
        <v>12.6</v>
      </c>
      <c r="G235" s="84">
        <f>F235/200</f>
        <v>6.3E-2</v>
      </c>
    </row>
    <row r="236" spans="1:9">
      <c r="A236" s="80" t="s">
        <v>205</v>
      </c>
      <c r="B236" s="81" t="s">
        <v>206</v>
      </c>
      <c r="C236" s="82">
        <v>79.849999999999994</v>
      </c>
      <c r="D236" s="83">
        <v>66</v>
      </c>
      <c r="E236" s="83">
        <f>D236*C236</f>
        <v>5270.0999999999995</v>
      </c>
      <c r="F236" s="83">
        <f>E236/22</f>
        <v>239.54999999999998</v>
      </c>
      <c r="G236" s="84">
        <f>F236/200</f>
        <v>1.1977499999999999</v>
      </c>
      <c r="I236" s="109"/>
    </row>
    <row r="237" spans="1:9">
      <c r="A237" s="80" t="s">
        <v>207</v>
      </c>
      <c r="B237" s="81" t="s">
        <v>208</v>
      </c>
      <c r="C237" s="82">
        <v>2.16</v>
      </c>
      <c r="D237" s="83">
        <v>66</v>
      </c>
      <c r="E237" s="83">
        <f>D237*C237</f>
        <v>142.56</v>
      </c>
      <c r="F237" s="83">
        <f>E237/22</f>
        <v>6.48</v>
      </c>
      <c r="G237" s="84">
        <f>F237/200</f>
        <v>3.2400000000000005E-2</v>
      </c>
    </row>
    <row r="238" spans="1:9">
      <c r="A238" s="110"/>
      <c r="B238" s="81"/>
      <c r="C238" s="82"/>
      <c r="D238" s="83"/>
      <c r="E238" s="83"/>
      <c r="F238" s="83"/>
      <c r="G238" s="84"/>
    </row>
    <row r="239" spans="1:9">
      <c r="A239" s="68" t="s">
        <v>209</v>
      </c>
      <c r="B239" s="111" t="s">
        <v>210</v>
      </c>
      <c r="C239" s="112">
        <f>SUM(C240,C265,C275,C291,C315)</f>
        <v>92216.340000000011</v>
      </c>
      <c r="D239" s="112">
        <f>SUM(D240,D265,D275,D291,D315)</f>
        <v>524.91666666666674</v>
      </c>
      <c r="E239" s="112">
        <f>SUM(E240,E265,E275,E291,E315)</f>
        <v>566385.96083333343</v>
      </c>
      <c r="F239" s="112">
        <f>SUM(F240,F265,F275,F291,F315)</f>
        <v>25744.82</v>
      </c>
      <c r="G239" s="71">
        <f>ROUNDUP(SUM(G240,G265,G275,G291,G315),0)</f>
        <v>7</v>
      </c>
    </row>
    <row r="240" spans="1:9" ht="52.8">
      <c r="A240" s="73" t="s">
        <v>211</v>
      </c>
      <c r="B240" s="74" t="s">
        <v>212</v>
      </c>
      <c r="C240" s="75">
        <f>SUM(C241,C246,C249,C257,C260)</f>
        <v>4505.6499999999996</v>
      </c>
      <c r="D240" s="75">
        <f>SUM(D241,D246,D249,D257,D260)</f>
        <v>308</v>
      </c>
      <c r="E240" s="75">
        <f>SUM(E241,E246,E249,E257,E260)</f>
        <v>99124.3</v>
      </c>
      <c r="F240" s="75">
        <f>ROUND(F241+F246+F249+F257+F260,2)</f>
        <v>4505.6499999999996</v>
      </c>
      <c r="G240" s="76">
        <f>SUM(G241,G246,G249,G257,G260)</f>
        <v>2.503138888888889</v>
      </c>
    </row>
    <row r="241" spans="1:7" ht="14.25" customHeight="1">
      <c r="A241" s="25" t="s">
        <v>68</v>
      </c>
      <c r="B241" s="25"/>
      <c r="C241" s="78">
        <f>SUM(C242:C245)</f>
        <v>1583.6399999999999</v>
      </c>
      <c r="D241" s="78">
        <f>SUM(D242:D245)</f>
        <v>66</v>
      </c>
      <c r="E241" s="78">
        <f>SUM(E242:E245)</f>
        <v>34840.080000000002</v>
      </c>
      <c r="F241" s="78">
        <f>SUM(F242:F245)</f>
        <v>1583.6399999999999</v>
      </c>
      <c r="G241" s="89">
        <f>SUM(G242:G244)</f>
        <v>0.87979999999999992</v>
      </c>
    </row>
    <row r="242" spans="1:7">
      <c r="A242" s="80" t="s">
        <v>213</v>
      </c>
      <c r="B242" s="81" t="s">
        <v>214</v>
      </c>
      <c r="C242" s="82">
        <v>1307.23</v>
      </c>
      <c r="D242" s="83">
        <v>22</v>
      </c>
      <c r="E242" s="83">
        <f>D242*C242</f>
        <v>28759.06</v>
      </c>
      <c r="F242" s="83">
        <f>E242/22</f>
        <v>1307.23</v>
      </c>
      <c r="G242" s="84">
        <f>F242/1800</f>
        <v>0.72623888888888888</v>
      </c>
    </row>
    <row r="243" spans="1:7" ht="26.4">
      <c r="A243" s="80" t="s">
        <v>215</v>
      </c>
      <c r="B243" s="81" t="s">
        <v>216</v>
      </c>
      <c r="C243" s="82">
        <v>159.84</v>
      </c>
      <c r="D243" s="83">
        <v>22</v>
      </c>
      <c r="E243" s="83">
        <f>D243*C243</f>
        <v>3516.48</v>
      </c>
      <c r="F243" s="83">
        <f>E243/22</f>
        <v>159.84</v>
      </c>
      <c r="G243" s="84">
        <f>F243/1800</f>
        <v>8.8800000000000004E-2</v>
      </c>
    </row>
    <row r="244" spans="1:7" ht="26.4">
      <c r="A244" s="80" t="s">
        <v>217</v>
      </c>
      <c r="B244" s="81" t="s">
        <v>218</v>
      </c>
      <c r="C244" s="82">
        <v>116.57</v>
      </c>
      <c r="D244" s="83">
        <v>22</v>
      </c>
      <c r="E244" s="83">
        <f>D244*C244</f>
        <v>2564.54</v>
      </c>
      <c r="F244" s="83">
        <f>E244/22</f>
        <v>116.57</v>
      </c>
      <c r="G244" s="84">
        <f>F244/1800</f>
        <v>6.4761111111111103E-2</v>
      </c>
    </row>
    <row r="245" spans="1:7" ht="9.75" customHeight="1">
      <c r="A245" s="85"/>
      <c r="B245" s="86"/>
      <c r="C245" s="87"/>
      <c r="D245" s="72"/>
      <c r="E245" s="72"/>
      <c r="F245" s="72"/>
      <c r="G245" s="88"/>
    </row>
    <row r="246" spans="1:7" ht="14.25" customHeight="1">
      <c r="A246" s="25" t="s">
        <v>84</v>
      </c>
      <c r="B246" s="25"/>
      <c r="C246" s="78">
        <f>SUM(C247:C248)</f>
        <v>1091.3900000000001</v>
      </c>
      <c r="D246" s="78">
        <f>SUM(D247:D248)</f>
        <v>22</v>
      </c>
      <c r="E246" s="78">
        <f>SUM(E247:E248)</f>
        <v>24010.58</v>
      </c>
      <c r="F246" s="78">
        <f>SUM(F247:F248)</f>
        <v>1091.3900000000001</v>
      </c>
      <c r="G246" s="89">
        <f>SUM(G247)</f>
        <v>0.6063277777777778</v>
      </c>
    </row>
    <row r="247" spans="1:7">
      <c r="A247" s="80" t="s">
        <v>219</v>
      </c>
      <c r="B247" s="81" t="s">
        <v>220</v>
      </c>
      <c r="C247" s="82">
        <v>1091.3900000000001</v>
      </c>
      <c r="D247" s="83">
        <v>22</v>
      </c>
      <c r="E247" s="83">
        <f>D247*C247</f>
        <v>24010.58</v>
      </c>
      <c r="F247" s="83">
        <f>E247/22</f>
        <v>1091.3900000000001</v>
      </c>
      <c r="G247" s="84">
        <f>F247/1800</f>
        <v>0.6063277777777778</v>
      </c>
    </row>
    <row r="248" spans="1:7" ht="7.5" customHeight="1">
      <c r="A248" s="85"/>
      <c r="B248" s="86"/>
      <c r="C248" s="87"/>
      <c r="D248" s="72"/>
      <c r="E248" s="72"/>
      <c r="F248" s="72"/>
      <c r="G248" s="88"/>
    </row>
    <row r="249" spans="1:7" ht="14.25" customHeight="1">
      <c r="A249" s="25" t="s">
        <v>90</v>
      </c>
      <c r="B249" s="25"/>
      <c r="C249" s="78">
        <f>SUM(C250:C256)</f>
        <v>769.96</v>
      </c>
      <c r="D249" s="78">
        <f>SUM(D250:D256)</f>
        <v>132</v>
      </c>
      <c r="E249" s="78">
        <f>SUM(E250:E256)</f>
        <v>16939.12</v>
      </c>
      <c r="F249" s="78">
        <f>SUM(F250:F256)</f>
        <v>769.96</v>
      </c>
      <c r="G249" s="89">
        <f>SUM(G250:G255)</f>
        <v>0.42775555555555561</v>
      </c>
    </row>
    <row r="250" spans="1:7">
      <c r="A250" s="80" t="s">
        <v>221</v>
      </c>
      <c r="B250" s="81" t="s">
        <v>222</v>
      </c>
      <c r="C250" s="82">
        <v>37.799999999999997</v>
      </c>
      <c r="D250" s="83">
        <v>22</v>
      </c>
      <c r="E250" s="83">
        <f t="shared" ref="E250:E255" si="6">D250*C250</f>
        <v>831.59999999999991</v>
      </c>
      <c r="F250" s="83">
        <f t="shared" ref="F250:F255" si="7">E250/22</f>
        <v>37.799999999999997</v>
      </c>
      <c r="G250" s="84">
        <f t="shared" ref="G250:G255" si="8">F250/1800</f>
        <v>2.0999999999999998E-2</v>
      </c>
    </row>
    <row r="251" spans="1:7" ht="26.4">
      <c r="A251" s="80" t="s">
        <v>223</v>
      </c>
      <c r="B251" s="81" t="s">
        <v>224</v>
      </c>
      <c r="C251" s="82">
        <v>412.8</v>
      </c>
      <c r="D251" s="83">
        <v>22</v>
      </c>
      <c r="E251" s="83">
        <f t="shared" si="6"/>
        <v>9081.6</v>
      </c>
      <c r="F251" s="83">
        <f t="shared" si="7"/>
        <v>412.8</v>
      </c>
      <c r="G251" s="84">
        <f t="shared" si="8"/>
        <v>0.22933333333333333</v>
      </c>
    </row>
    <row r="252" spans="1:7">
      <c r="A252" s="80" t="s">
        <v>225</v>
      </c>
      <c r="B252" s="81" t="s">
        <v>226</v>
      </c>
      <c r="C252" s="82">
        <v>66.3</v>
      </c>
      <c r="D252" s="83">
        <v>22</v>
      </c>
      <c r="E252" s="83">
        <f t="shared" si="6"/>
        <v>1458.6</v>
      </c>
      <c r="F252" s="83">
        <f t="shared" si="7"/>
        <v>66.3</v>
      </c>
      <c r="G252" s="84">
        <f t="shared" si="8"/>
        <v>3.6833333333333329E-2</v>
      </c>
    </row>
    <row r="253" spans="1:7" ht="26.4">
      <c r="A253" s="80" t="s">
        <v>227</v>
      </c>
      <c r="B253" s="81" t="s">
        <v>228</v>
      </c>
      <c r="C253" s="82">
        <v>73.2</v>
      </c>
      <c r="D253" s="83">
        <v>22</v>
      </c>
      <c r="E253" s="83">
        <f t="shared" si="6"/>
        <v>1610.4</v>
      </c>
      <c r="F253" s="83">
        <f t="shared" si="7"/>
        <v>73.2</v>
      </c>
      <c r="G253" s="84">
        <f t="shared" si="8"/>
        <v>4.066666666666667E-2</v>
      </c>
    </row>
    <row r="254" spans="1:7" ht="26.4">
      <c r="A254" s="80" t="s">
        <v>229</v>
      </c>
      <c r="B254" s="81" t="s">
        <v>230</v>
      </c>
      <c r="C254" s="82">
        <v>133.26</v>
      </c>
      <c r="D254" s="83">
        <v>22</v>
      </c>
      <c r="E254" s="83">
        <f t="shared" si="6"/>
        <v>2931.72</v>
      </c>
      <c r="F254" s="83">
        <f t="shared" si="7"/>
        <v>133.26</v>
      </c>
      <c r="G254" s="84">
        <f t="shared" si="8"/>
        <v>7.4033333333333326E-2</v>
      </c>
    </row>
    <row r="255" spans="1:7" ht="26.4">
      <c r="A255" s="80" t="s">
        <v>231</v>
      </c>
      <c r="B255" s="81" t="s">
        <v>232</v>
      </c>
      <c r="C255" s="82">
        <v>46.6</v>
      </c>
      <c r="D255" s="83">
        <v>22</v>
      </c>
      <c r="E255" s="83">
        <f t="shared" si="6"/>
        <v>1025.2</v>
      </c>
      <c r="F255" s="83">
        <f t="shared" si="7"/>
        <v>46.6</v>
      </c>
      <c r="G255" s="84">
        <f t="shared" si="8"/>
        <v>2.5888888888888888E-2</v>
      </c>
    </row>
    <row r="256" spans="1:7" ht="8.25" customHeight="1">
      <c r="A256" s="85"/>
      <c r="B256" s="86"/>
      <c r="C256" s="87"/>
      <c r="D256" s="72"/>
      <c r="E256" s="72"/>
      <c r="F256" s="72"/>
      <c r="G256" s="88"/>
    </row>
    <row r="257" spans="1:7" ht="14.25" customHeight="1">
      <c r="A257" s="25" t="s">
        <v>95</v>
      </c>
      <c r="B257" s="25"/>
      <c r="C257" s="78">
        <f>SUM(C258)</f>
        <v>260.62</v>
      </c>
      <c r="D257" s="78">
        <f>SUM(D258)</f>
        <v>22</v>
      </c>
      <c r="E257" s="78">
        <f>SUM(E258)</f>
        <v>5733.64</v>
      </c>
      <c r="F257" s="78">
        <f>SUM(F258)</f>
        <v>260.62</v>
      </c>
      <c r="G257" s="89">
        <f>SUM(G258)</f>
        <v>0.14478888888888888</v>
      </c>
    </row>
    <row r="258" spans="1:7">
      <c r="A258" s="80" t="s">
        <v>233</v>
      </c>
      <c r="B258" s="81" t="s">
        <v>234</v>
      </c>
      <c r="C258" s="82">
        <v>260.62</v>
      </c>
      <c r="D258" s="83">
        <v>22</v>
      </c>
      <c r="E258" s="83">
        <f>D258*C258</f>
        <v>5733.64</v>
      </c>
      <c r="F258" s="83">
        <f>E258/22</f>
        <v>260.62</v>
      </c>
      <c r="G258" s="84">
        <f>F258/1800</f>
        <v>0.14478888888888888</v>
      </c>
    </row>
    <row r="259" spans="1:7" ht="7.5" customHeight="1">
      <c r="A259" s="85"/>
      <c r="B259" s="86"/>
      <c r="C259" s="87"/>
      <c r="D259" s="72"/>
      <c r="E259" s="72"/>
      <c r="F259" s="72"/>
      <c r="G259" s="88"/>
    </row>
    <row r="260" spans="1:7" ht="14.25" customHeight="1">
      <c r="A260" s="25" t="s">
        <v>98</v>
      </c>
      <c r="B260" s="25"/>
      <c r="C260" s="78">
        <f>SUM(C261:C264)</f>
        <v>800.04</v>
      </c>
      <c r="D260" s="78">
        <f>SUM(D261:D264)</f>
        <v>66</v>
      </c>
      <c r="E260" s="78">
        <f>SUM(E261:E264)</f>
        <v>17600.88</v>
      </c>
      <c r="F260" s="78">
        <f>SUM(F261:F264)</f>
        <v>800.04</v>
      </c>
      <c r="G260" s="89">
        <f>SUM(G261:G263)</f>
        <v>0.44446666666666668</v>
      </c>
    </row>
    <row r="261" spans="1:7">
      <c r="A261" s="80" t="s">
        <v>235</v>
      </c>
      <c r="B261" s="81" t="s">
        <v>236</v>
      </c>
      <c r="C261" s="82">
        <v>319.99</v>
      </c>
      <c r="D261" s="83">
        <v>22</v>
      </c>
      <c r="E261" s="83">
        <f>D261*C261</f>
        <v>7039.7800000000007</v>
      </c>
      <c r="F261" s="83">
        <f>E261/22</f>
        <v>319.99</v>
      </c>
      <c r="G261" s="84">
        <f>F261/1800</f>
        <v>0.17777222222222222</v>
      </c>
    </row>
    <row r="262" spans="1:7">
      <c r="A262" s="80" t="s">
        <v>237</v>
      </c>
      <c r="B262" s="81" t="s">
        <v>238</v>
      </c>
      <c r="C262" s="82">
        <v>26.63</v>
      </c>
      <c r="D262" s="83">
        <v>22</v>
      </c>
      <c r="E262" s="83">
        <f>D262*C262</f>
        <v>585.86</v>
      </c>
      <c r="F262" s="83">
        <f>E262/22</f>
        <v>26.63</v>
      </c>
      <c r="G262" s="84">
        <f>F262/1800</f>
        <v>1.4794444444444443E-2</v>
      </c>
    </row>
    <row r="263" spans="1:7">
      <c r="A263" s="80" t="s">
        <v>239</v>
      </c>
      <c r="B263" s="81" t="s">
        <v>240</v>
      </c>
      <c r="C263" s="82">
        <v>453.42</v>
      </c>
      <c r="D263" s="83">
        <v>22</v>
      </c>
      <c r="E263" s="83">
        <f>D263*C263</f>
        <v>9975.24</v>
      </c>
      <c r="F263" s="83">
        <f>E263/22</f>
        <v>453.42</v>
      </c>
      <c r="G263" s="84">
        <f>F263/1800</f>
        <v>0.25190000000000001</v>
      </c>
    </row>
    <row r="264" spans="1:7" ht="7.5" customHeight="1">
      <c r="A264" s="85"/>
      <c r="B264" s="86"/>
      <c r="C264" s="87"/>
      <c r="D264" s="72"/>
      <c r="E264" s="72"/>
      <c r="F264" s="72"/>
      <c r="G264" s="88"/>
    </row>
    <row r="265" spans="1:7" ht="39.6">
      <c r="A265" s="73" t="s">
        <v>241</v>
      </c>
      <c r="B265" s="74" t="s">
        <v>242</v>
      </c>
      <c r="C265" s="113">
        <f>SUM(C266,C272)</f>
        <v>7719.34</v>
      </c>
      <c r="D265" s="113">
        <f>SUM(D266,D272)</f>
        <v>110</v>
      </c>
      <c r="E265" s="113">
        <f>SUM(E266,E272)</f>
        <v>169825.48</v>
      </c>
      <c r="F265" s="113">
        <f>ROUND(F266+F272,2)</f>
        <v>7719.34</v>
      </c>
      <c r="G265" s="76">
        <f>SUM(G266,G272)</f>
        <v>1.2865566666666668</v>
      </c>
    </row>
    <row r="266" spans="1:7" ht="14.25" customHeight="1">
      <c r="A266" s="25" t="s">
        <v>68</v>
      </c>
      <c r="B266" s="25"/>
      <c r="C266" s="78">
        <f>SUM(C267:C271)</f>
        <v>6285.15</v>
      </c>
      <c r="D266" s="78">
        <f>SUM(D267:D271)</f>
        <v>88</v>
      </c>
      <c r="E266" s="78">
        <f>SUM(E267:E271)</f>
        <v>138273.30000000002</v>
      </c>
      <c r="F266" s="78">
        <f>SUM(F267:F271)</f>
        <v>6285.1500000000005</v>
      </c>
      <c r="G266" s="89">
        <f>SUM(G267:G270)</f>
        <v>1.047525</v>
      </c>
    </row>
    <row r="267" spans="1:7">
      <c r="A267" s="80" t="s">
        <v>243</v>
      </c>
      <c r="B267" s="81" t="s">
        <v>244</v>
      </c>
      <c r="C267" s="82">
        <v>3463.12</v>
      </c>
      <c r="D267" s="83">
        <v>22</v>
      </c>
      <c r="E267" s="83">
        <f>D267*C267</f>
        <v>76188.639999999999</v>
      </c>
      <c r="F267" s="83">
        <f>E267/22</f>
        <v>3463.12</v>
      </c>
      <c r="G267" s="84">
        <f>F267/6000</f>
        <v>0.57718666666666663</v>
      </c>
    </row>
    <row r="268" spans="1:7">
      <c r="A268" s="80" t="s">
        <v>245</v>
      </c>
      <c r="B268" s="81" t="s">
        <v>246</v>
      </c>
      <c r="C268" s="82">
        <v>237.93</v>
      </c>
      <c r="D268" s="83">
        <v>22</v>
      </c>
      <c r="E268" s="83">
        <f>D268*C268</f>
        <v>5234.46</v>
      </c>
      <c r="F268" s="83">
        <f>E268/22</f>
        <v>237.93</v>
      </c>
      <c r="G268" s="84">
        <f>F268/6000</f>
        <v>3.9655000000000003E-2</v>
      </c>
    </row>
    <row r="269" spans="1:7" ht="26.4">
      <c r="A269" s="80" t="s">
        <v>247</v>
      </c>
      <c r="B269" s="81" t="s">
        <v>248</v>
      </c>
      <c r="C269" s="82">
        <v>1780.67</v>
      </c>
      <c r="D269" s="83">
        <v>22</v>
      </c>
      <c r="E269" s="83">
        <f>D269*C269</f>
        <v>39174.740000000005</v>
      </c>
      <c r="F269" s="83">
        <f>E269/22</f>
        <v>1780.6700000000003</v>
      </c>
      <c r="G269" s="84">
        <f>F269/6000</f>
        <v>0.29677833333333337</v>
      </c>
    </row>
    <row r="270" spans="1:7">
      <c r="A270" s="80" t="s">
        <v>249</v>
      </c>
      <c r="B270" s="81" t="s">
        <v>250</v>
      </c>
      <c r="C270" s="82">
        <v>803.43</v>
      </c>
      <c r="D270" s="83">
        <v>22</v>
      </c>
      <c r="E270" s="83">
        <f>D270*C270</f>
        <v>17675.46</v>
      </c>
      <c r="F270" s="83">
        <f>E270/22</f>
        <v>803.43</v>
      </c>
      <c r="G270" s="84">
        <f>F270/6000</f>
        <v>0.133905</v>
      </c>
    </row>
    <row r="271" spans="1:7" ht="9" customHeight="1">
      <c r="A271" s="85"/>
      <c r="B271" s="86"/>
      <c r="C271" s="87"/>
      <c r="D271" s="72"/>
      <c r="E271" s="72"/>
      <c r="F271" s="72"/>
      <c r="G271" s="88"/>
    </row>
    <row r="272" spans="1:7" ht="14.25" customHeight="1">
      <c r="A272" s="25" t="s">
        <v>84</v>
      </c>
      <c r="B272" s="25"/>
      <c r="C272" s="78">
        <f>SUM(C273:C274)</f>
        <v>1434.19</v>
      </c>
      <c r="D272" s="78">
        <f>SUM(D273:D274)</f>
        <v>22</v>
      </c>
      <c r="E272" s="78">
        <f>SUM(E273:E274)</f>
        <v>31552.18</v>
      </c>
      <c r="F272" s="78">
        <f>SUM(F273:F274)</f>
        <v>1434.19</v>
      </c>
      <c r="G272" s="89">
        <f>SUM(G273)</f>
        <v>0.23903166666666667</v>
      </c>
    </row>
    <row r="273" spans="1:7">
      <c r="A273" s="80" t="s">
        <v>251</v>
      </c>
      <c r="B273" s="81" t="s">
        <v>252</v>
      </c>
      <c r="C273" s="82">
        <v>1434.19</v>
      </c>
      <c r="D273" s="83">
        <v>22</v>
      </c>
      <c r="E273" s="83">
        <f>D273*C273</f>
        <v>31552.18</v>
      </c>
      <c r="F273" s="83">
        <f>E273/22</f>
        <v>1434.19</v>
      </c>
      <c r="G273" s="84">
        <f>F273/6000</f>
        <v>0.23903166666666667</v>
      </c>
    </row>
    <row r="274" spans="1:7" ht="9" customHeight="1">
      <c r="A274" s="85"/>
      <c r="B274" s="86"/>
      <c r="C274" s="87"/>
      <c r="D274" s="72"/>
      <c r="E274" s="72"/>
      <c r="F274" s="72"/>
      <c r="G274" s="88"/>
    </row>
    <row r="275" spans="1:7" ht="39.6">
      <c r="A275" s="73" t="s">
        <v>253</v>
      </c>
      <c r="B275" s="74" t="s">
        <v>254</v>
      </c>
      <c r="C275" s="113">
        <f>SUM(C276,C281,C284,C288)</f>
        <v>7173.28</v>
      </c>
      <c r="D275" s="113">
        <f>SUM(D276,D281,D284,D288)</f>
        <v>77</v>
      </c>
      <c r="E275" s="113">
        <f>SUM(E276,E281,E284,E288)</f>
        <v>78906.080000000016</v>
      </c>
      <c r="F275" s="113">
        <f>ROUND(F276+F281+F284+F288,2)</f>
        <v>3586.64</v>
      </c>
      <c r="G275" s="76">
        <f>SUM(G276,G281,G284,G288)</f>
        <v>1.9925777777777778</v>
      </c>
    </row>
    <row r="276" spans="1:7" ht="14.25" customHeight="1">
      <c r="A276" s="25" t="s">
        <v>68</v>
      </c>
      <c r="B276" s="25"/>
      <c r="C276" s="78">
        <f>SUM(C277:C280)</f>
        <v>4102.2</v>
      </c>
      <c r="D276" s="78">
        <f>SUM(D277:D280)</f>
        <v>33</v>
      </c>
      <c r="E276" s="78">
        <f>SUM(E277:E280)</f>
        <v>45124.200000000004</v>
      </c>
      <c r="F276" s="78">
        <f>SUM(F277:F280)</f>
        <v>2051.1</v>
      </c>
      <c r="G276" s="89">
        <f>SUM(G277:G279)</f>
        <v>1.1395</v>
      </c>
    </row>
    <row r="277" spans="1:7">
      <c r="A277" s="80" t="s">
        <v>255</v>
      </c>
      <c r="B277" s="81" t="s">
        <v>256</v>
      </c>
      <c r="C277" s="82">
        <v>3237.04</v>
      </c>
      <c r="D277" s="83">
        <v>11</v>
      </c>
      <c r="E277" s="83">
        <f>D277*C277</f>
        <v>35607.440000000002</v>
      </c>
      <c r="F277" s="83">
        <f>E277/22</f>
        <v>1618.5200000000002</v>
      </c>
      <c r="G277" s="84">
        <f>F277/1800</f>
        <v>0.89917777777777785</v>
      </c>
    </row>
    <row r="278" spans="1:7">
      <c r="A278" s="80" t="s">
        <v>257</v>
      </c>
      <c r="B278" s="81" t="s">
        <v>258</v>
      </c>
      <c r="C278" s="82">
        <v>626.76</v>
      </c>
      <c r="D278" s="83">
        <v>11</v>
      </c>
      <c r="E278" s="83">
        <f>D278*C278</f>
        <v>6894.36</v>
      </c>
      <c r="F278" s="83">
        <f>E278/22</f>
        <v>313.38</v>
      </c>
      <c r="G278" s="84">
        <f>F278/1800</f>
        <v>0.1741</v>
      </c>
    </row>
    <row r="279" spans="1:7">
      <c r="A279" s="80" t="s">
        <v>259</v>
      </c>
      <c r="B279" s="81" t="s">
        <v>260</v>
      </c>
      <c r="C279" s="82">
        <v>238.4</v>
      </c>
      <c r="D279" s="83">
        <v>11</v>
      </c>
      <c r="E279" s="83">
        <f>D279*C279</f>
        <v>2622.4</v>
      </c>
      <c r="F279" s="83">
        <f>E279/22</f>
        <v>119.2</v>
      </c>
      <c r="G279" s="84">
        <f>F279/1800</f>
        <v>6.6222222222222224E-2</v>
      </c>
    </row>
    <row r="280" spans="1:7" ht="7.5" customHeight="1">
      <c r="A280" s="85"/>
      <c r="B280" s="86"/>
      <c r="C280" s="87"/>
      <c r="D280" s="72"/>
      <c r="E280" s="72"/>
      <c r="F280" s="72"/>
      <c r="G280" s="88"/>
    </row>
    <row r="281" spans="1:7" ht="14.25" customHeight="1">
      <c r="A281" s="25" t="s">
        <v>84</v>
      </c>
      <c r="B281" s="25"/>
      <c r="C281" s="78">
        <f>SUM(C282)</f>
        <v>2551.86</v>
      </c>
      <c r="D281" s="78">
        <f>SUM(D282)</f>
        <v>11</v>
      </c>
      <c r="E281" s="78">
        <f>SUM(E282)</f>
        <v>28070.460000000003</v>
      </c>
      <c r="F281" s="78">
        <f>SUM(F282)</f>
        <v>1275.93</v>
      </c>
      <c r="G281" s="89">
        <f>SUM(G282)</f>
        <v>0.70884999999999998</v>
      </c>
    </row>
    <row r="282" spans="1:7">
      <c r="A282" s="80" t="s">
        <v>261</v>
      </c>
      <c r="B282" s="81" t="s">
        <v>256</v>
      </c>
      <c r="C282" s="82">
        <v>2551.86</v>
      </c>
      <c r="D282" s="83">
        <v>11</v>
      </c>
      <c r="E282" s="83">
        <f>D282*C282</f>
        <v>28070.460000000003</v>
      </c>
      <c r="F282" s="83">
        <f>E282/22</f>
        <v>1275.93</v>
      </c>
      <c r="G282" s="84">
        <f>F282/1800</f>
        <v>0.70884999999999998</v>
      </c>
    </row>
    <row r="283" spans="1:7" ht="8.25" customHeight="1">
      <c r="A283" s="114"/>
      <c r="B283" s="115"/>
      <c r="C283" s="87"/>
      <c r="D283" s="72"/>
      <c r="E283" s="72"/>
      <c r="F283" s="72"/>
      <c r="G283" s="88"/>
    </row>
    <row r="284" spans="1:7" ht="14.25" customHeight="1">
      <c r="A284" s="25" t="s">
        <v>90</v>
      </c>
      <c r="B284" s="25"/>
      <c r="C284" s="78">
        <f>SUM(C285,C286)</f>
        <v>258.60000000000002</v>
      </c>
      <c r="D284" s="78">
        <f>SUM(D285,D286)</f>
        <v>22</v>
      </c>
      <c r="E284" s="78">
        <f>SUM(E285,E286)</f>
        <v>2844.6000000000004</v>
      </c>
      <c r="F284" s="78">
        <f>SUM(F285,F286)</f>
        <v>129.30000000000001</v>
      </c>
      <c r="G284" s="89">
        <f>SUM(G285:G286)</f>
        <v>7.1833333333333332E-2</v>
      </c>
    </row>
    <row r="285" spans="1:7">
      <c r="A285" s="80" t="s">
        <v>262</v>
      </c>
      <c r="B285" s="81" t="s">
        <v>263</v>
      </c>
      <c r="C285" s="82">
        <v>148.80000000000001</v>
      </c>
      <c r="D285" s="83">
        <v>11</v>
      </c>
      <c r="E285" s="83">
        <f>D285*C285</f>
        <v>1636.8000000000002</v>
      </c>
      <c r="F285" s="83">
        <f>E285/22</f>
        <v>74.400000000000006</v>
      </c>
      <c r="G285" s="84">
        <f>F285/1800</f>
        <v>4.1333333333333333E-2</v>
      </c>
    </row>
    <row r="286" spans="1:7">
      <c r="A286" s="80" t="s">
        <v>264</v>
      </c>
      <c r="B286" s="81" t="s">
        <v>265</v>
      </c>
      <c r="C286" s="82">
        <v>109.8</v>
      </c>
      <c r="D286" s="83">
        <v>11</v>
      </c>
      <c r="E286" s="83">
        <f>D286*C286</f>
        <v>1207.8</v>
      </c>
      <c r="F286" s="83">
        <f>E286/22</f>
        <v>54.9</v>
      </c>
      <c r="G286" s="84">
        <f>F286/1800</f>
        <v>3.0499999999999999E-2</v>
      </c>
    </row>
    <row r="287" spans="1:7" ht="7.5" customHeight="1">
      <c r="A287" s="85"/>
      <c r="B287" s="86"/>
      <c r="C287" s="87"/>
      <c r="D287" s="72"/>
      <c r="E287" s="72"/>
      <c r="F287" s="72"/>
      <c r="G287" s="88"/>
    </row>
    <row r="288" spans="1:7" ht="14.25" customHeight="1">
      <c r="A288" s="25" t="s">
        <v>95</v>
      </c>
      <c r="B288" s="25"/>
      <c r="C288" s="78">
        <f>C289</f>
        <v>260.62</v>
      </c>
      <c r="D288" s="78">
        <f>D289</f>
        <v>11</v>
      </c>
      <c r="E288" s="78">
        <f>E289</f>
        <v>2866.82</v>
      </c>
      <c r="F288" s="78">
        <f>F289</f>
        <v>130.31</v>
      </c>
      <c r="G288" s="89">
        <f>SUM(G289)</f>
        <v>7.2394444444444442E-2</v>
      </c>
    </row>
    <row r="289" spans="1:7">
      <c r="A289" s="80" t="s">
        <v>266</v>
      </c>
      <c r="B289" s="81" t="s">
        <v>267</v>
      </c>
      <c r="C289" s="82">
        <v>260.62</v>
      </c>
      <c r="D289" s="83">
        <v>11</v>
      </c>
      <c r="E289" s="83">
        <f>D289*C289</f>
        <v>2866.82</v>
      </c>
      <c r="F289" s="83">
        <f>E289/22</f>
        <v>130.31</v>
      </c>
      <c r="G289" s="84">
        <f>F289/1800</f>
        <v>7.2394444444444442E-2</v>
      </c>
    </row>
    <row r="290" spans="1:7" ht="9" customHeight="1">
      <c r="A290" s="85"/>
      <c r="B290" s="86"/>
      <c r="C290" s="87"/>
      <c r="D290" s="72"/>
      <c r="E290" s="72"/>
      <c r="F290" s="72"/>
      <c r="G290" s="88"/>
    </row>
    <row r="291" spans="1:7" ht="39.6">
      <c r="A291" s="73" t="s">
        <v>268</v>
      </c>
      <c r="B291" s="116" t="s">
        <v>269</v>
      </c>
      <c r="C291" s="113">
        <f>SUM(C292,C296,C302,C307,C310)</f>
        <v>65217.070000000007</v>
      </c>
      <c r="D291" s="113">
        <f>SUM(D292,D296,D302,D307,D310)</f>
        <v>7.916666666666667</v>
      </c>
      <c r="E291" s="113">
        <f>SUM(E292,E296,E302,E307,E310)</f>
        <v>51308.10083333333</v>
      </c>
      <c r="F291" s="113">
        <f>ROUND(F292+F296+F302+F307+F310,2)</f>
        <v>2332.19</v>
      </c>
      <c r="G291" s="76">
        <f>SUM(G292,G296,G302,G307,G310)</f>
        <v>0.86377274130190806</v>
      </c>
    </row>
    <row r="292" spans="1:7" ht="14.25" customHeight="1">
      <c r="A292" s="25" t="s">
        <v>68</v>
      </c>
      <c r="B292" s="25"/>
      <c r="C292" s="78">
        <f>SUM(C293:C295)</f>
        <v>3101.38</v>
      </c>
      <c r="D292" s="78">
        <f>SUM(D293:D295)</f>
        <v>0.5</v>
      </c>
      <c r="E292" s="78">
        <f>SUM(E293:E295)</f>
        <v>775.34500000000003</v>
      </c>
      <c r="F292" s="78">
        <f>SUM(F293:F295)</f>
        <v>35.242954545454545</v>
      </c>
      <c r="G292" s="89">
        <f>SUM(G293:G294)</f>
        <v>1.3052946127946127E-2</v>
      </c>
    </row>
    <row r="293" spans="1:7" ht="26.4">
      <c r="A293" s="80" t="s">
        <v>270</v>
      </c>
      <c r="B293" s="81" t="s">
        <v>271</v>
      </c>
      <c r="C293" s="82">
        <v>2673.54</v>
      </c>
      <c r="D293" s="83">
        <v>0.25</v>
      </c>
      <c r="E293" s="83">
        <f>D293*C293</f>
        <v>668.38499999999999</v>
      </c>
      <c r="F293" s="83">
        <f>E293/22</f>
        <v>30.381136363636362</v>
      </c>
      <c r="G293" s="84">
        <f>F293/2700</f>
        <v>1.1252272727272727E-2</v>
      </c>
    </row>
    <row r="294" spans="1:7" ht="26.4">
      <c r="A294" s="80" t="s">
        <v>272</v>
      </c>
      <c r="B294" s="81" t="s">
        <v>273</v>
      </c>
      <c r="C294" s="82">
        <v>427.84</v>
      </c>
      <c r="D294" s="83">
        <v>0.25</v>
      </c>
      <c r="E294" s="83">
        <f>D294*C294</f>
        <v>106.96</v>
      </c>
      <c r="F294" s="83">
        <f>E294/22</f>
        <v>4.8618181818181814</v>
      </c>
      <c r="G294" s="84">
        <f>F294/2700</f>
        <v>1.8006734006734005E-3</v>
      </c>
    </row>
    <row r="295" spans="1:7" ht="8.25" customHeight="1">
      <c r="A295" s="85"/>
      <c r="B295" s="86"/>
      <c r="C295" s="87"/>
      <c r="D295" s="72"/>
      <c r="E295" s="72"/>
      <c r="F295" s="72"/>
      <c r="G295" s="88"/>
    </row>
    <row r="296" spans="1:7" ht="14.25" customHeight="1">
      <c r="A296" s="25" t="s">
        <v>84</v>
      </c>
      <c r="B296" s="25"/>
      <c r="C296" s="78">
        <f>SUM(C297:C301)</f>
        <v>13202.83</v>
      </c>
      <c r="D296" s="78">
        <f>SUM(D297:D301)</f>
        <v>4.25</v>
      </c>
      <c r="E296" s="78">
        <f>SUM(E297:E301)</f>
        <v>10982.4025</v>
      </c>
      <c r="F296" s="78">
        <f>SUM(F297:F301)</f>
        <v>499.20011363636365</v>
      </c>
      <c r="G296" s="89">
        <f>SUM(G297:G300)</f>
        <v>0.184888930976431</v>
      </c>
    </row>
    <row r="297" spans="1:7" ht="26.4">
      <c r="A297" s="80" t="s">
        <v>272</v>
      </c>
      <c r="B297" s="81" t="s">
        <v>274</v>
      </c>
      <c r="C297" s="82">
        <v>6620.57</v>
      </c>
      <c r="D297" s="83">
        <v>0.25</v>
      </c>
      <c r="E297" s="83">
        <f>D297*C297</f>
        <v>1655.1424999999999</v>
      </c>
      <c r="F297" s="83">
        <f>E297/22</f>
        <v>75.233750000000001</v>
      </c>
      <c r="G297" s="84">
        <f>F297/2700</f>
        <v>2.7864351851851852E-2</v>
      </c>
    </row>
    <row r="298" spans="1:7">
      <c r="A298" s="80" t="s">
        <v>275</v>
      </c>
      <c r="B298" s="81" t="s">
        <v>276</v>
      </c>
      <c r="C298" s="82">
        <v>2465.61</v>
      </c>
      <c r="D298" s="83">
        <v>1</v>
      </c>
      <c r="E298" s="83">
        <f>D298*C298</f>
        <v>2465.61</v>
      </c>
      <c r="F298" s="83">
        <f>E298/22</f>
        <v>112.07318181818182</v>
      </c>
      <c r="G298" s="84">
        <f>F298/2700</f>
        <v>4.1508585858585863E-2</v>
      </c>
    </row>
    <row r="299" spans="1:7">
      <c r="A299" s="80" t="s">
        <v>277</v>
      </c>
      <c r="B299" s="81" t="s">
        <v>278</v>
      </c>
      <c r="C299" s="82">
        <v>2745</v>
      </c>
      <c r="D299" s="83">
        <v>2</v>
      </c>
      <c r="E299" s="83">
        <f>D299*C299</f>
        <v>5490</v>
      </c>
      <c r="F299" s="83">
        <f>E299/22</f>
        <v>249.54545454545453</v>
      </c>
      <c r="G299" s="84">
        <f>F299/2700</f>
        <v>9.2424242424242423E-2</v>
      </c>
    </row>
    <row r="300" spans="1:7">
      <c r="A300" s="80" t="s">
        <v>279</v>
      </c>
      <c r="B300" s="81" t="s">
        <v>280</v>
      </c>
      <c r="C300" s="82">
        <v>1371.65</v>
      </c>
      <c r="D300" s="83">
        <v>1</v>
      </c>
      <c r="E300" s="83">
        <f>D300*C300</f>
        <v>1371.65</v>
      </c>
      <c r="F300" s="83">
        <f>E300/22</f>
        <v>62.347727272727276</v>
      </c>
      <c r="G300" s="84">
        <f>F300/2700</f>
        <v>2.3091750841750844E-2</v>
      </c>
    </row>
    <row r="301" spans="1:7" ht="9" customHeight="1">
      <c r="A301" s="85"/>
      <c r="B301" s="86"/>
      <c r="C301" s="87"/>
      <c r="D301" s="72"/>
      <c r="E301" s="72"/>
      <c r="F301" s="72"/>
      <c r="G301" s="88"/>
    </row>
    <row r="302" spans="1:7" ht="14.25" customHeight="1">
      <c r="A302" s="25" t="s">
        <v>90</v>
      </c>
      <c r="B302" s="25"/>
      <c r="C302" s="78">
        <f>SUM(C303:C305)</f>
        <v>20293.7</v>
      </c>
      <c r="D302" s="78">
        <f>SUM(D303:D305)</f>
        <v>1.4166666666666667</v>
      </c>
      <c r="E302" s="78">
        <f>SUM(E303:E305)</f>
        <v>17048.25333333333</v>
      </c>
      <c r="F302" s="78">
        <f>SUM(F303:F305)</f>
        <v>774.92060606060602</v>
      </c>
      <c r="G302" s="89">
        <f>SUM(G303:G305)</f>
        <v>0.28700763187429851</v>
      </c>
    </row>
    <row r="303" spans="1:7" ht="39.6">
      <c r="A303" s="80" t="s">
        <v>281</v>
      </c>
      <c r="B303" s="81" t="s">
        <v>282</v>
      </c>
      <c r="C303" s="82">
        <f>99.6+474.05+553.23+267.6+490.4+117.2+820.84+5040.28+8445.03</f>
        <v>16308.23</v>
      </c>
      <c r="D303" s="83">
        <v>1</v>
      </c>
      <c r="E303" s="83">
        <f>D303*C303</f>
        <v>16308.23</v>
      </c>
      <c r="F303" s="83">
        <f>E303/22</f>
        <v>741.28318181818179</v>
      </c>
      <c r="G303" s="84">
        <f>F303/2700</f>
        <v>0.27454932659932657</v>
      </c>
    </row>
    <row r="304" spans="1:7" ht="26.4">
      <c r="A304" s="80" t="s">
        <v>283</v>
      </c>
      <c r="B304" s="81" t="s">
        <v>284</v>
      </c>
      <c r="C304" s="82">
        <v>909.34</v>
      </c>
      <c r="D304" s="83">
        <v>0.25</v>
      </c>
      <c r="E304" s="83">
        <f>D304*C304</f>
        <v>227.33500000000001</v>
      </c>
      <c r="F304" s="83">
        <f>E304/22</f>
        <v>10.333409090909091</v>
      </c>
      <c r="G304" s="84">
        <f>F304/2700</f>
        <v>3.8271885521885523E-3</v>
      </c>
    </row>
    <row r="305" spans="1:10">
      <c r="A305" s="80" t="s">
        <v>285</v>
      </c>
      <c r="B305" s="81" t="s">
        <v>286</v>
      </c>
      <c r="C305" s="82">
        <v>3076.13</v>
      </c>
      <c r="D305" s="83">
        <f>1/6</f>
        <v>0.16666666666666666</v>
      </c>
      <c r="E305" s="83">
        <f>D305*C305</f>
        <v>512.68833333333328</v>
      </c>
      <c r="F305" s="83">
        <f>E305/22</f>
        <v>23.304015151515149</v>
      </c>
      <c r="G305" s="84">
        <f>F305/2700</f>
        <v>8.6311167227833881E-3</v>
      </c>
    </row>
    <row r="306" spans="1:10" ht="8.25" customHeight="1">
      <c r="A306" s="90"/>
      <c r="B306" s="86"/>
      <c r="C306" s="87"/>
      <c r="D306" s="72"/>
      <c r="E306" s="72"/>
      <c r="F306" s="72"/>
      <c r="G306" s="88"/>
    </row>
    <row r="307" spans="1:10" ht="14.25" customHeight="1">
      <c r="A307" s="25" t="s">
        <v>95</v>
      </c>
      <c r="B307" s="25"/>
      <c r="C307" s="78">
        <f>SUM(C308)</f>
        <v>20463.080000000002</v>
      </c>
      <c r="D307" s="78">
        <f>SUM(D308)</f>
        <v>1</v>
      </c>
      <c r="E307" s="78">
        <f>SUM(E308)</f>
        <v>20463.080000000002</v>
      </c>
      <c r="F307" s="78">
        <f>SUM(F308)</f>
        <v>930.1400000000001</v>
      </c>
      <c r="G307" s="89">
        <f>SUM(G308)</f>
        <v>0.34449629629629636</v>
      </c>
    </row>
    <row r="308" spans="1:10" ht="26.4">
      <c r="A308" s="80" t="s">
        <v>287</v>
      </c>
      <c r="B308" s="81" t="s">
        <v>288</v>
      </c>
      <c r="C308" s="82">
        <v>20463.080000000002</v>
      </c>
      <c r="D308" s="83">
        <v>1</v>
      </c>
      <c r="E308" s="83">
        <f>D308*C308</f>
        <v>20463.080000000002</v>
      </c>
      <c r="F308" s="83">
        <f>E308/22</f>
        <v>930.1400000000001</v>
      </c>
      <c r="G308" s="84">
        <f>F308/2700</f>
        <v>0.34449629629629636</v>
      </c>
    </row>
    <row r="309" spans="1:10" ht="9.75" customHeight="1">
      <c r="A309" s="85"/>
      <c r="B309" s="86"/>
      <c r="C309" s="87"/>
      <c r="D309" s="72"/>
      <c r="E309" s="72"/>
      <c r="F309" s="72"/>
      <c r="G309" s="88"/>
    </row>
    <row r="310" spans="1:10" ht="14.25" customHeight="1">
      <c r="A310" s="25" t="s">
        <v>98</v>
      </c>
      <c r="B310" s="25"/>
      <c r="C310" s="78">
        <f>SUM(C311:C314)</f>
        <v>8156.0800000000008</v>
      </c>
      <c r="D310" s="78">
        <f>SUM(D311:D314)</f>
        <v>0.75</v>
      </c>
      <c r="E310" s="78">
        <f>SUM(E311:E314)</f>
        <v>2039.0200000000002</v>
      </c>
      <c r="F310" s="78">
        <f>SUM(F311:F314)</f>
        <v>92.682727272727277</v>
      </c>
      <c r="G310" s="89">
        <f>SUM(G311:G313)</f>
        <v>3.4326936026936025E-2</v>
      </c>
    </row>
    <row r="311" spans="1:10" ht="39.6">
      <c r="A311" s="80" t="s">
        <v>289</v>
      </c>
      <c r="B311" s="81" t="s">
        <v>290</v>
      </c>
      <c r="C311" s="82">
        <v>5192.5600000000004</v>
      </c>
      <c r="D311" s="83">
        <v>0.25</v>
      </c>
      <c r="E311" s="83">
        <f>D311*C311</f>
        <v>1298.1400000000001</v>
      </c>
      <c r="F311" s="83">
        <f>E311/22</f>
        <v>59.006363636363638</v>
      </c>
      <c r="G311" s="84">
        <f>F311/2700</f>
        <v>2.1854208754208754E-2</v>
      </c>
    </row>
    <row r="312" spans="1:10">
      <c r="A312" s="80" t="s">
        <v>291</v>
      </c>
      <c r="B312" s="81" t="s">
        <v>292</v>
      </c>
      <c r="C312" s="82">
        <v>381.72</v>
      </c>
      <c r="D312" s="83">
        <v>0.25</v>
      </c>
      <c r="E312" s="83">
        <f>D312*C312</f>
        <v>95.43</v>
      </c>
      <c r="F312" s="83">
        <f>E312/22</f>
        <v>4.3377272727272729</v>
      </c>
      <c r="G312" s="84">
        <f>F312/2700</f>
        <v>1.6065656565656566E-3</v>
      </c>
    </row>
    <row r="313" spans="1:10" ht="26.4">
      <c r="A313" s="117" t="s">
        <v>293</v>
      </c>
      <c r="B313" s="81" t="s">
        <v>294</v>
      </c>
      <c r="C313" s="82">
        <v>2581.8000000000002</v>
      </c>
      <c r="D313" s="83">
        <v>0.25</v>
      </c>
      <c r="E313" s="83">
        <f>D313*C313</f>
        <v>645.45000000000005</v>
      </c>
      <c r="F313" s="83">
        <f>E313/22</f>
        <v>29.338636363636365</v>
      </c>
      <c r="G313" s="84">
        <f>F313/2700</f>
        <v>1.0866161616161616E-2</v>
      </c>
    </row>
    <row r="314" spans="1:10" ht="7.5" customHeight="1">
      <c r="A314" s="85"/>
      <c r="B314" s="86"/>
      <c r="C314" s="87"/>
      <c r="D314" s="72"/>
      <c r="E314" s="72"/>
      <c r="F314" s="72"/>
      <c r="G314" s="88"/>
    </row>
    <row r="315" spans="1:10" ht="52.8">
      <c r="A315" s="118" t="s">
        <v>295</v>
      </c>
      <c r="B315" s="119" t="s">
        <v>296</v>
      </c>
      <c r="C315" s="113">
        <f>SUM(C316)</f>
        <v>7601</v>
      </c>
      <c r="D315" s="113">
        <f>SUM(D316)</f>
        <v>22</v>
      </c>
      <c r="E315" s="113">
        <f>SUM(E316)</f>
        <v>167222</v>
      </c>
      <c r="F315" s="113">
        <f>ROUND(F316,2)</f>
        <v>7601</v>
      </c>
      <c r="G315" s="76">
        <f>SUM(G316)</f>
        <v>7.6009999999999994E-2</v>
      </c>
    </row>
    <row r="316" spans="1:10" ht="14.25" customHeight="1">
      <c r="A316" s="25" t="s">
        <v>98</v>
      </c>
      <c r="B316" s="25"/>
      <c r="C316" s="78">
        <f>SUM(C317:C318)</f>
        <v>7601</v>
      </c>
      <c r="D316" s="78">
        <f>SUM(D317:D318)</f>
        <v>22</v>
      </c>
      <c r="E316" s="78">
        <f>SUM(E317:E318)</f>
        <v>167222</v>
      </c>
      <c r="F316" s="78">
        <f>SUM(F317:F318)</f>
        <v>7601</v>
      </c>
      <c r="G316" s="89">
        <f>SUM(G317)</f>
        <v>7.6009999999999994E-2</v>
      </c>
    </row>
    <row r="317" spans="1:10">
      <c r="A317" s="80" t="s">
        <v>297</v>
      </c>
      <c r="B317" s="81" t="s">
        <v>298</v>
      </c>
      <c r="C317" s="82">
        <v>7601</v>
      </c>
      <c r="D317" s="83">
        <v>22</v>
      </c>
      <c r="E317" s="83">
        <f>D317*C317</f>
        <v>167222</v>
      </c>
      <c r="F317" s="83">
        <f>E317/22</f>
        <v>7601</v>
      </c>
      <c r="G317" s="84">
        <f>F317/100000</f>
        <v>7.6009999999999994E-2</v>
      </c>
    </row>
    <row r="318" spans="1:10" ht="7.5" customHeight="1">
      <c r="A318" s="120"/>
      <c r="B318" s="121"/>
      <c r="C318" s="122"/>
      <c r="D318" s="123" t="s">
        <v>299</v>
      </c>
      <c r="E318" s="123"/>
      <c r="F318" s="123"/>
      <c r="G318" s="124"/>
      <c r="J318" s="109"/>
    </row>
    <row r="319" spans="1:10">
      <c r="A319" s="22">
        <f>SUM(C239,C115)</f>
        <v>124661.29000000001</v>
      </c>
      <c r="B319" s="22"/>
      <c r="C319" s="22"/>
      <c r="D319" s="22"/>
      <c r="E319" s="22"/>
      <c r="F319" s="22"/>
      <c r="G319" s="125">
        <f>SUM(G239,G115)</f>
        <v>38</v>
      </c>
      <c r="J319" s="109"/>
    </row>
    <row r="320" spans="1:10" ht="15" customHeight="1">
      <c r="A320" s="21" t="s">
        <v>300</v>
      </c>
      <c r="B320" s="21"/>
      <c r="C320" s="21"/>
      <c r="D320" s="21"/>
      <c r="E320" s="21"/>
      <c r="F320" s="21"/>
      <c r="G320" s="126">
        <f>G319</f>
        <v>38</v>
      </c>
      <c r="J320" s="109"/>
    </row>
    <row r="321" spans="1:10" ht="14.25" customHeight="1">
      <c r="A321" s="20" t="s">
        <v>301</v>
      </c>
      <c r="B321" s="20"/>
      <c r="C321" s="20"/>
      <c r="D321" s="20"/>
      <c r="E321" s="20"/>
      <c r="F321" s="20"/>
      <c r="G321" s="127">
        <f>ROUNDDOWN(G320/30,0)</f>
        <v>1</v>
      </c>
      <c r="J321" s="109"/>
    </row>
    <row r="322" spans="1:10" ht="15" customHeight="1">
      <c r="A322" s="37"/>
      <c r="B322" s="37"/>
    </row>
    <row r="324" spans="1:10" ht="14.25" customHeight="1">
      <c r="B324" s="19" t="s">
        <v>302</v>
      </c>
      <c r="C324" s="19"/>
      <c r="F324" s="109"/>
    </row>
    <row r="325" spans="1:10" ht="15" customHeight="1">
      <c r="A325"/>
    </row>
    <row r="326" spans="1:10" ht="14.25" customHeight="1">
      <c r="B326" s="18" t="s">
        <v>303</v>
      </c>
      <c r="C326" s="18"/>
      <c r="D326" s="18"/>
      <c r="E326" s="18"/>
      <c r="F326" s="18"/>
    </row>
    <row r="327" spans="1:10" ht="14.25" customHeight="1">
      <c r="A327"/>
      <c r="B327" s="18"/>
      <c r="C327" s="18"/>
      <c r="D327" s="18"/>
      <c r="E327" s="18"/>
      <c r="F327" s="18"/>
    </row>
    <row r="328" spans="1:10">
      <c r="A328"/>
      <c r="B328" s="18"/>
      <c r="C328" s="18"/>
      <c r="D328" s="18"/>
      <c r="E328" s="18"/>
      <c r="F328" s="18"/>
    </row>
    <row r="329" spans="1:10">
      <c r="A329"/>
      <c r="B329" s="128"/>
      <c r="C329" s="128"/>
      <c r="D329" s="128"/>
      <c r="E329" s="128"/>
      <c r="F329" s="128"/>
    </row>
    <row r="330" spans="1:10" ht="14.25" customHeight="1">
      <c r="A330"/>
      <c r="B330" s="18" t="s">
        <v>304</v>
      </c>
      <c r="C330" s="18"/>
      <c r="D330" s="18"/>
      <c r="E330" s="18"/>
      <c r="F330" s="18"/>
    </row>
    <row r="331" spans="1:10">
      <c r="A331"/>
      <c r="B331" s="18"/>
      <c r="C331" s="18"/>
      <c r="D331" s="18"/>
      <c r="E331" s="18"/>
      <c r="F331" s="18"/>
    </row>
    <row r="332" spans="1:10" ht="14.25" customHeight="1">
      <c r="A332"/>
      <c r="B332" s="18"/>
      <c r="C332" s="18"/>
      <c r="D332" s="18"/>
      <c r="E332" s="18"/>
      <c r="F332" s="18"/>
    </row>
    <row r="333" spans="1:10">
      <c r="A333"/>
      <c r="B333" s="128"/>
      <c r="C333" s="128"/>
      <c r="D333" s="128"/>
      <c r="E333" s="128"/>
      <c r="F333" s="128"/>
    </row>
    <row r="334" spans="1:10" ht="14.25" customHeight="1">
      <c r="B334" s="17" t="s">
        <v>305</v>
      </c>
      <c r="C334" s="17"/>
      <c r="D334" s="17"/>
      <c r="E334" s="17"/>
      <c r="F334" s="17"/>
    </row>
    <row r="335" spans="1:10" ht="10.5" customHeight="1">
      <c r="A335"/>
    </row>
    <row r="336" spans="1:10" ht="60" customHeight="1">
      <c r="B336" s="16" t="s">
        <v>306</v>
      </c>
      <c r="C336" s="16"/>
      <c r="D336" s="16"/>
      <c r="E336" s="16"/>
      <c r="F336" s="16"/>
    </row>
    <row r="337" spans="1:6" ht="13.5" customHeight="1">
      <c r="A337"/>
      <c r="C337" s="129"/>
      <c r="D337" s="129"/>
    </row>
    <row r="338" spans="1:6" ht="14.25" customHeight="1">
      <c r="A338"/>
      <c r="B338" s="16" t="s">
        <v>307</v>
      </c>
      <c r="C338" s="16"/>
      <c r="D338" s="16"/>
      <c r="E338" s="16"/>
      <c r="F338" s="16"/>
    </row>
    <row r="339" spans="1:6" ht="14.25" customHeight="1">
      <c r="A339"/>
      <c r="B339" s="16"/>
      <c r="C339" s="16"/>
      <c r="D339" s="16"/>
      <c r="E339" s="16"/>
      <c r="F339" s="16"/>
    </row>
    <row r="340" spans="1:6">
      <c r="A340"/>
      <c r="B340" s="16"/>
      <c r="C340" s="16"/>
      <c r="D340" s="16"/>
      <c r="E340" s="16"/>
      <c r="F340" s="16"/>
    </row>
    <row r="341" spans="1:6" ht="36.75" customHeight="1">
      <c r="A341"/>
      <c r="B341" s="16"/>
      <c r="C341" s="16"/>
      <c r="D341" s="16"/>
      <c r="E341" s="16"/>
      <c r="F341" s="16"/>
    </row>
    <row r="342" spans="1:6" ht="14.25" customHeight="1">
      <c r="A342"/>
      <c r="B342" s="130"/>
      <c r="C342" s="130"/>
      <c r="D342" s="130"/>
      <c r="E342" s="130"/>
      <c r="F342" s="130"/>
    </row>
    <row r="343" spans="1:6" ht="14.25" customHeight="1">
      <c r="A343"/>
      <c r="B343" s="16" t="s">
        <v>308</v>
      </c>
      <c r="C343" s="16"/>
      <c r="D343" s="16"/>
      <c r="E343" s="16"/>
      <c r="F343" s="16"/>
    </row>
    <row r="344" spans="1:6" ht="14.25" customHeight="1">
      <c r="A344"/>
      <c r="B344" s="16"/>
      <c r="C344" s="16"/>
      <c r="D344" s="16"/>
      <c r="E344" s="16"/>
      <c r="F344" s="16"/>
    </row>
    <row r="345" spans="1:6" ht="14.25" customHeight="1">
      <c r="A345"/>
      <c r="B345" s="16"/>
      <c r="C345" s="16"/>
      <c r="D345" s="16"/>
      <c r="E345" s="16"/>
      <c r="F345" s="16"/>
    </row>
    <row r="346" spans="1:6" ht="14.25" customHeight="1">
      <c r="A346"/>
      <c r="B346" s="16"/>
      <c r="C346" s="16"/>
      <c r="D346" s="16"/>
      <c r="E346" s="16"/>
      <c r="F346" s="16"/>
    </row>
    <row r="347" spans="1:6" ht="14.25" customHeight="1">
      <c r="A347"/>
      <c r="B347" s="130"/>
      <c r="C347" s="130"/>
      <c r="D347" s="130"/>
      <c r="E347" s="130"/>
      <c r="F347" s="130"/>
    </row>
    <row r="348" spans="1:6" ht="23.25" customHeight="1">
      <c r="A348"/>
      <c r="B348" s="15" t="s">
        <v>309</v>
      </c>
      <c r="C348" s="15"/>
      <c r="D348" s="15"/>
      <c r="E348" s="15"/>
      <c r="F348" s="15"/>
    </row>
    <row r="349" spans="1:6" ht="30" customHeight="1">
      <c r="A349"/>
      <c r="B349" s="15"/>
      <c r="C349" s="15"/>
      <c r="D349" s="15"/>
      <c r="E349" s="15"/>
      <c r="F349" s="15"/>
    </row>
    <row r="350" spans="1:6">
      <c r="A350"/>
      <c r="B350" s="15"/>
      <c r="C350" s="15"/>
      <c r="D350" s="15"/>
      <c r="E350" s="15"/>
      <c r="F350" s="15"/>
    </row>
    <row r="351" spans="1:6" ht="3" customHeight="1"/>
  </sheetData>
  <mergeCells count="168">
    <mergeCell ref="B330:F332"/>
    <mergeCell ref="B334:F334"/>
    <mergeCell ref="B336:F336"/>
    <mergeCell ref="B338:F341"/>
    <mergeCell ref="B343:F346"/>
    <mergeCell ref="B348:F350"/>
    <mergeCell ref="A302:B302"/>
    <mergeCell ref="A307:B307"/>
    <mergeCell ref="A310:B310"/>
    <mergeCell ref="A316:B316"/>
    <mergeCell ref="A319:F319"/>
    <mergeCell ref="A320:F320"/>
    <mergeCell ref="A321:F321"/>
    <mergeCell ref="B324:C324"/>
    <mergeCell ref="B326:F328"/>
    <mergeCell ref="A260:B260"/>
    <mergeCell ref="A266:B266"/>
    <mergeCell ref="A272:B272"/>
    <mergeCell ref="A276:B276"/>
    <mergeCell ref="A281:B281"/>
    <mergeCell ref="A284:B284"/>
    <mergeCell ref="A288:B288"/>
    <mergeCell ref="A292:B292"/>
    <mergeCell ref="A296:B296"/>
    <mergeCell ref="A213:B213"/>
    <mergeCell ref="A220:B220"/>
    <mergeCell ref="A224:B224"/>
    <mergeCell ref="A230:B230"/>
    <mergeCell ref="A234:B234"/>
    <mergeCell ref="A241:B241"/>
    <mergeCell ref="A246:B246"/>
    <mergeCell ref="A249:B249"/>
    <mergeCell ref="A257:B257"/>
    <mergeCell ref="A169:B169"/>
    <mergeCell ref="A173:B173"/>
    <mergeCell ref="A177:B177"/>
    <mergeCell ref="A180:B180"/>
    <mergeCell ref="A185:B185"/>
    <mergeCell ref="A192:B192"/>
    <mergeCell ref="A197:B197"/>
    <mergeCell ref="A204:B204"/>
    <mergeCell ref="A208:B208"/>
    <mergeCell ref="A112:G112"/>
    <mergeCell ref="A117:B117"/>
    <mergeCell ref="A128:B128"/>
    <mergeCell ref="A133:B133"/>
    <mergeCell ref="A137:B137"/>
    <mergeCell ref="A140:B140"/>
    <mergeCell ref="A154:B154"/>
    <mergeCell ref="A158:B158"/>
    <mergeCell ref="A163:B163"/>
    <mergeCell ref="B103:B104"/>
    <mergeCell ref="C103:D103"/>
    <mergeCell ref="C104:D104"/>
    <mergeCell ref="C105:D105"/>
    <mergeCell ref="B106:B107"/>
    <mergeCell ref="C106:D106"/>
    <mergeCell ref="C107:D107"/>
    <mergeCell ref="C108:F108"/>
    <mergeCell ref="B109:B110"/>
    <mergeCell ref="C109:F109"/>
    <mergeCell ref="C110:F110"/>
    <mergeCell ref="C96:D96"/>
    <mergeCell ref="B97:B98"/>
    <mergeCell ref="C97:D97"/>
    <mergeCell ref="C98:D98"/>
    <mergeCell ref="C99:D99"/>
    <mergeCell ref="B100:B101"/>
    <mergeCell ref="C100:D100"/>
    <mergeCell ref="C101:D101"/>
    <mergeCell ref="C102:D102"/>
    <mergeCell ref="B88:B89"/>
    <mergeCell ref="C88:D88"/>
    <mergeCell ref="C89:D89"/>
    <mergeCell ref="C90:D90"/>
    <mergeCell ref="B91:B92"/>
    <mergeCell ref="C91:D91"/>
    <mergeCell ref="C92:D92"/>
    <mergeCell ref="C93:D93"/>
    <mergeCell ref="B94:B95"/>
    <mergeCell ref="C94:D94"/>
    <mergeCell ref="C95:D95"/>
    <mergeCell ref="C81:D81"/>
    <mergeCell ref="B82:B83"/>
    <mergeCell ref="C82:D82"/>
    <mergeCell ref="C83:D83"/>
    <mergeCell ref="C84:D84"/>
    <mergeCell ref="B85:B86"/>
    <mergeCell ref="C85:D85"/>
    <mergeCell ref="C86:D86"/>
    <mergeCell ref="C87:D87"/>
    <mergeCell ref="A73:B73"/>
    <mergeCell ref="C75:D75"/>
    <mergeCell ref="B76:B77"/>
    <mergeCell ref="C76:D76"/>
    <mergeCell ref="C77:D77"/>
    <mergeCell ref="C78:D78"/>
    <mergeCell ref="B79:B80"/>
    <mergeCell ref="C79:D79"/>
    <mergeCell ref="C80:D80"/>
    <mergeCell ref="C61:D61"/>
    <mergeCell ref="B62:B63"/>
    <mergeCell ref="C62:D62"/>
    <mergeCell ref="E62:E63"/>
    <mergeCell ref="F62:F63"/>
    <mergeCell ref="C63:D63"/>
    <mergeCell ref="C67:D67"/>
    <mergeCell ref="B68:B69"/>
    <mergeCell ref="C68:D68"/>
    <mergeCell ref="E68:E69"/>
    <mergeCell ref="F68:F69"/>
    <mergeCell ref="C69:D69"/>
    <mergeCell ref="C49:D49"/>
    <mergeCell ref="B50:B51"/>
    <mergeCell ref="C50:D50"/>
    <mergeCell ref="E50:E51"/>
    <mergeCell ref="F50:F51"/>
    <mergeCell ref="C51:D51"/>
    <mergeCell ref="C55:D55"/>
    <mergeCell ref="B56:B57"/>
    <mergeCell ref="C56:D56"/>
    <mergeCell ref="E56:E57"/>
    <mergeCell ref="F56:F57"/>
    <mergeCell ref="C57:D57"/>
    <mergeCell ref="C37:D37"/>
    <mergeCell ref="B38:B39"/>
    <mergeCell ref="C38:D38"/>
    <mergeCell ref="E38:E39"/>
    <mergeCell ref="F38:F39"/>
    <mergeCell ref="C39:D39"/>
    <mergeCell ref="C43:D43"/>
    <mergeCell ref="B44:B45"/>
    <mergeCell ref="C44:D44"/>
    <mergeCell ref="E44:E45"/>
    <mergeCell ref="F44:F45"/>
    <mergeCell ref="C45:D45"/>
    <mergeCell ref="C25:D25"/>
    <mergeCell ref="B26:B27"/>
    <mergeCell ref="C26:D26"/>
    <mergeCell ref="E26:E27"/>
    <mergeCell ref="F26:F27"/>
    <mergeCell ref="C27:D27"/>
    <mergeCell ref="C31:D31"/>
    <mergeCell ref="B32:B33"/>
    <mergeCell ref="C32:D32"/>
    <mergeCell ref="E32:E33"/>
    <mergeCell ref="F32:F33"/>
    <mergeCell ref="C33:D33"/>
    <mergeCell ref="B14:B15"/>
    <mergeCell ref="C14:D14"/>
    <mergeCell ref="E14:E15"/>
    <mergeCell ref="F14:F15"/>
    <mergeCell ref="C15:D15"/>
    <mergeCell ref="C19:D19"/>
    <mergeCell ref="B20:B21"/>
    <mergeCell ref="C20:D20"/>
    <mergeCell ref="E20:E21"/>
    <mergeCell ref="F20:F21"/>
    <mergeCell ref="C21:D21"/>
    <mergeCell ref="A2:F2"/>
    <mergeCell ref="A4:B4"/>
    <mergeCell ref="C7:D7"/>
    <mergeCell ref="B8:B9"/>
    <mergeCell ref="C8:D8"/>
    <mergeCell ref="E8:E9"/>
    <mergeCell ref="F8:F9"/>
    <mergeCell ref="C9:D9"/>
    <mergeCell ref="C13:D13"/>
  </mergeCells>
  <pageMargins left="0.78749999999999998" right="0.78749999999999998" top="1.05277777777778" bottom="1.05277777777778" header="0.78749999999999998" footer="0.78749999999999998"/>
  <pageSetup paperSize="9" scale="80" firstPageNumber="0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view="pageBreakPreview" topLeftCell="A26" zoomScale="80" zoomScaleNormal="100" zoomScalePageLayoutView="80" workbookViewId="0">
      <selection activeCell="I26" sqref="I26"/>
    </sheetView>
  </sheetViews>
  <sheetFormatPr defaultRowHeight="14.4"/>
  <cols>
    <col min="1" max="1" width="7.44140625" customWidth="1"/>
    <col min="2" max="2" width="9" customWidth="1"/>
    <col min="3" max="3" width="8.6640625" customWidth="1"/>
    <col min="4" max="4" width="10.33203125" customWidth="1"/>
    <col min="5" max="5" width="8.6640625" customWidth="1"/>
    <col min="6" max="6" width="17.109375" customWidth="1"/>
    <col min="7" max="7" width="24.44140625" customWidth="1"/>
    <col min="8" max="8" width="16.109375" customWidth="1"/>
    <col min="9" max="9" width="30.6640625" customWidth="1"/>
    <col min="10" max="1025" width="14.44140625" customWidth="1"/>
  </cols>
  <sheetData>
    <row r="1" spans="1:9">
      <c r="A1" s="233" t="s">
        <v>310</v>
      </c>
      <c r="B1" s="233"/>
      <c r="C1" s="233"/>
      <c r="D1" s="233"/>
      <c r="E1" s="233"/>
      <c r="F1" s="233"/>
      <c r="G1" s="233"/>
      <c r="H1" s="233"/>
      <c r="I1" s="233"/>
    </row>
    <row r="2" spans="1:9">
      <c r="A2" s="234"/>
      <c r="B2" s="234"/>
      <c r="C2" s="234"/>
      <c r="D2" s="234"/>
      <c r="E2" s="234"/>
      <c r="F2" s="234"/>
      <c r="G2" s="234"/>
      <c r="H2" s="234"/>
      <c r="I2" s="234"/>
    </row>
    <row r="3" spans="1:9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9">
      <c r="A4" s="233"/>
      <c r="B4" s="233"/>
      <c r="C4" s="233"/>
      <c r="D4" s="233"/>
      <c r="E4" s="233"/>
      <c r="F4" s="233"/>
      <c r="G4" s="233"/>
      <c r="H4" s="233"/>
      <c r="I4" s="233"/>
    </row>
    <row r="5" spans="1:9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9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9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9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9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9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9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9">
      <c r="A13" s="239" t="s">
        <v>327</v>
      </c>
      <c r="B13" s="239"/>
      <c r="C13" s="240" t="s">
        <v>328</v>
      </c>
      <c r="D13" s="240"/>
      <c r="E13" s="235">
        <v>1</v>
      </c>
      <c r="F13" s="235"/>
      <c r="G13" s="235"/>
      <c r="H13" s="235"/>
      <c r="I13" s="235"/>
    </row>
    <row r="14" spans="1:9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</row>
    <row r="15" spans="1:9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331</v>
      </c>
    </row>
    <row r="16" spans="1:9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333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36">
        <v>1879.18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1879.18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1879.18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156.54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227.38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383.91999999999996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1879.18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383.91999999999996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2263.1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452.62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56.58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135.79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33.950000000000003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22.63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13.58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4.53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181.05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900.73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8.14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448.90999999999997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383.91999999999996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900.73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448.90999999999997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1733.56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1879.18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1733.56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3612.74</v>
      </c>
    </row>
    <row r="66" spans="1:9" ht="15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48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15.17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1.08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66.84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26.73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144.51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254.32999999999998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1879.18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1733.56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254.32999999999998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3867.0699999999997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35.96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21.66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1.1599999999999999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12.76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2.71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74.25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74.25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74.25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v>0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v>0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UNIFORMES!G22</f>
        <v>22.25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v>0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22.25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1879.18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1733.56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254.32999999999998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74.25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22.25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3963.5699999999997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198.18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416.18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88.09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405.74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266.93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1375.1200000000001</v>
      </c>
    </row>
    <row r="120" spans="1:9" ht="15.75" customHeight="1">
      <c r="A120" s="238"/>
      <c r="B120" s="238"/>
      <c r="C120" s="238"/>
      <c r="D120" s="238"/>
      <c r="E120" s="238"/>
      <c r="F120" s="238"/>
      <c r="G120" s="238"/>
      <c r="H120" s="238"/>
      <c r="I120" s="238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4577.93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5338.69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760.75999999999931</v>
      </c>
    </row>
    <row r="129" spans="1:9" ht="15.75" customHeight="1">
      <c r="A129" s="236" t="s">
        <v>445</v>
      </c>
      <c r="B129" s="236"/>
      <c r="C129" s="236"/>
      <c r="D129" s="236"/>
      <c r="E129" s="236"/>
      <c r="F129" s="236"/>
      <c r="G129" s="236"/>
      <c r="H129" s="236"/>
      <c r="I129" s="236"/>
    </row>
    <row r="130" spans="1:9" ht="15.75" customHeight="1">
      <c r="A130" s="236" t="s">
        <v>446</v>
      </c>
      <c r="B130" s="236"/>
      <c r="C130" s="236"/>
      <c r="D130" s="236"/>
      <c r="E130" s="236"/>
      <c r="F130" s="236"/>
      <c r="G130" s="236"/>
      <c r="H130" s="236"/>
      <c r="I130" s="133" t="s">
        <v>342</v>
      </c>
    </row>
    <row r="131" spans="1:9" ht="15.75" customHeight="1">
      <c r="A131" s="132" t="s">
        <v>314</v>
      </c>
      <c r="B131" s="237" t="str">
        <f>A21</f>
        <v>MÓDULO 1 - COMPOSIÇÃO DA REMUNERAÇÃO</v>
      </c>
      <c r="C131" s="237"/>
      <c r="D131" s="237"/>
      <c r="E131" s="237"/>
      <c r="F131" s="237"/>
      <c r="G131" s="237"/>
      <c r="H131" s="237"/>
      <c r="I131" s="143">
        <f>I29</f>
        <v>1879.18</v>
      </c>
    </row>
    <row r="132" spans="1:9" ht="15.75" customHeight="1">
      <c r="A132" s="132" t="s">
        <v>316</v>
      </c>
      <c r="B132" s="237" t="str">
        <f>A31</f>
        <v>MÓDULO 2 – ENCARGOS E BENEFÍCIOS ANUAIS, MENSAIS E DIÁRIOS</v>
      </c>
      <c r="C132" s="237"/>
      <c r="D132" s="237"/>
      <c r="E132" s="237"/>
      <c r="F132" s="237"/>
      <c r="G132" s="237"/>
      <c r="H132" s="237"/>
      <c r="I132" s="143">
        <f>I62</f>
        <v>1733.56</v>
      </c>
    </row>
    <row r="133" spans="1:9" ht="15.75" customHeight="1">
      <c r="A133" s="132" t="s">
        <v>319</v>
      </c>
      <c r="B133" s="237" t="str">
        <f>A66</f>
        <v>MÓDULO 3 – PROVISÃO PARA RESCISÃO</v>
      </c>
      <c r="C133" s="237"/>
      <c r="D133" s="237"/>
      <c r="E133" s="237"/>
      <c r="F133" s="237"/>
      <c r="G133" s="237"/>
      <c r="H133" s="237"/>
      <c r="I133" s="143">
        <f>I73</f>
        <v>254.32999999999998</v>
      </c>
    </row>
    <row r="134" spans="1:9" ht="15.75" customHeight="1">
      <c r="A134" s="132" t="s">
        <v>321</v>
      </c>
      <c r="B134" s="237" t="str">
        <f>A78</f>
        <v>MÓDULO 4 – CUSTO DE REPOSIÇÃO DO PROFISSIONAL AUSENTE</v>
      </c>
      <c r="C134" s="237"/>
      <c r="D134" s="237"/>
      <c r="E134" s="237"/>
      <c r="F134" s="237"/>
      <c r="G134" s="237"/>
      <c r="H134" s="237"/>
      <c r="I134" s="143">
        <f>I96</f>
        <v>74.25</v>
      </c>
    </row>
    <row r="135" spans="1:9" ht="15.75" customHeight="1">
      <c r="A135" s="132" t="s">
        <v>347</v>
      </c>
      <c r="B135" s="237" t="str">
        <f>A98</f>
        <v>MÓDULO 5 – INSUMOS DIVERSOS</v>
      </c>
      <c r="C135" s="237"/>
      <c r="D135" s="237"/>
      <c r="E135" s="237"/>
      <c r="F135" s="237"/>
      <c r="G135" s="237"/>
      <c r="H135" s="237"/>
      <c r="I135" s="143">
        <f>I104</f>
        <v>22.25</v>
      </c>
    </row>
    <row r="136" spans="1:9" ht="15.75" customHeight="1">
      <c r="A136" s="236" t="s">
        <v>447</v>
      </c>
      <c r="B136" s="236"/>
      <c r="C136" s="236"/>
      <c r="D136" s="236"/>
      <c r="E136" s="236"/>
      <c r="F136" s="236"/>
      <c r="G136" s="236"/>
      <c r="H136" s="236"/>
      <c r="I136" s="142">
        <f>SUM(I131:I135)</f>
        <v>3963.5699999999997</v>
      </c>
    </row>
    <row r="137" spans="1:9" ht="15.75" customHeight="1">
      <c r="A137" s="132" t="s">
        <v>349</v>
      </c>
      <c r="B137" s="237" t="str">
        <f>A111</f>
        <v>MÓDULO 6 – CUSTOS INDIRETOS, TRIBUTOS E LUCRO</v>
      </c>
      <c r="C137" s="237"/>
      <c r="D137" s="237"/>
      <c r="E137" s="237"/>
      <c r="F137" s="237"/>
      <c r="G137" s="237"/>
      <c r="H137" s="237"/>
      <c r="I137" s="143">
        <f>I119</f>
        <v>1375.1200000000001</v>
      </c>
    </row>
    <row r="138" spans="1:9" ht="15.75" customHeight="1">
      <c r="A138" s="236" t="s">
        <v>448</v>
      </c>
      <c r="B138" s="236"/>
      <c r="C138" s="236"/>
      <c r="D138" s="236"/>
      <c r="E138" s="236"/>
      <c r="F138" s="236"/>
      <c r="G138" s="236"/>
      <c r="H138" s="236"/>
      <c r="I138" s="142">
        <f>SUM(I136:I137)</f>
        <v>5338.69</v>
      </c>
    </row>
    <row r="139" spans="1:9" ht="15.75" customHeight="1"/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4">
    <mergeCell ref="B134:H134"/>
    <mergeCell ref="B135:H135"/>
    <mergeCell ref="A136:H136"/>
    <mergeCell ref="B137:H137"/>
    <mergeCell ref="A138:H138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0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9"/>
  <sheetViews>
    <sheetView view="pageBreakPreview" topLeftCell="A37" zoomScale="80" zoomScaleNormal="100" zoomScalePageLayoutView="80" workbookViewId="0">
      <selection activeCell="I67" sqref="I67"/>
    </sheetView>
  </sheetViews>
  <sheetFormatPr defaultRowHeight="14.4"/>
  <cols>
    <col min="1" max="1" width="7.44140625" customWidth="1"/>
    <col min="2" max="2" width="8.88671875" customWidth="1"/>
    <col min="3" max="3" width="8.6640625" customWidth="1"/>
    <col min="4" max="4" width="10.33203125" customWidth="1"/>
    <col min="5" max="5" width="8.6640625" customWidth="1"/>
    <col min="6" max="6" width="17.109375" customWidth="1"/>
    <col min="7" max="7" width="24.44140625" customWidth="1"/>
    <col min="8" max="8" width="16.109375" customWidth="1"/>
    <col min="9" max="9" width="30.6640625" customWidth="1"/>
    <col min="10" max="1025" width="14.44140625" customWidth="1"/>
  </cols>
  <sheetData>
    <row r="1" spans="1:9">
      <c r="A1" s="233" t="s">
        <v>449</v>
      </c>
      <c r="B1" s="233"/>
      <c r="C1" s="233"/>
      <c r="D1" s="233"/>
      <c r="E1" s="233"/>
      <c r="F1" s="233"/>
      <c r="G1" s="233"/>
      <c r="H1" s="233"/>
      <c r="I1" s="233"/>
    </row>
    <row r="2" spans="1:9">
      <c r="A2" s="234"/>
      <c r="B2" s="234"/>
      <c r="C2" s="234"/>
      <c r="D2" s="234"/>
      <c r="E2" s="234"/>
      <c r="F2" s="234"/>
      <c r="G2" s="234"/>
      <c r="H2" s="234"/>
      <c r="I2" s="234"/>
    </row>
    <row r="3" spans="1:9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9">
      <c r="A4" s="233"/>
      <c r="B4" s="233"/>
      <c r="C4" s="233"/>
      <c r="D4" s="233"/>
      <c r="E4" s="233"/>
      <c r="F4" s="233"/>
      <c r="G4" s="233"/>
      <c r="H4" s="233"/>
      <c r="I4" s="233"/>
    </row>
    <row r="5" spans="1:9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9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9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9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9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9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9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9">
      <c r="A13" s="239" t="s">
        <v>327</v>
      </c>
      <c r="B13" s="239"/>
      <c r="C13" s="240" t="s">
        <v>328</v>
      </c>
      <c r="D13" s="240"/>
      <c r="E13" s="235">
        <v>3</v>
      </c>
      <c r="F13" s="235"/>
      <c r="G13" s="235"/>
      <c r="H13" s="235"/>
      <c r="I13" s="235"/>
    </row>
    <row r="14" spans="1:9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</row>
    <row r="15" spans="1:9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450</v>
      </c>
    </row>
    <row r="16" spans="1:9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451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36">
        <v>1747.04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1747.04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1747.04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145.53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211.39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356.91999999999996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1747.04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356.91999999999996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2103.96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420.79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52.6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126.24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31.56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21.04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12.62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4.21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168.32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837.37999999999988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 t="s">
        <v>622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7.57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448.34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356.91999999999996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837.37999999999988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448.34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1642.6399999999996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1747.04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1642.6399999999996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3389.6799999999994</v>
      </c>
    </row>
    <row r="66" spans="1:9" ht="15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48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14.24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1.02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62.71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25.08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135.59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238.64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1747.04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1642.6399999999996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238.64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3628.3199999999993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33.74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20.32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1.0900000000000001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11.97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2.54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69.660000000000011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69.660000000000011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69.660000000000011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v>0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EPIS!F32</f>
        <v>409.55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UNIFORMES!G32</f>
        <v>22.91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EQUIPAMENTOS'!I49</f>
        <v>18.080000000000002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450.54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1747.04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1642.6399999999996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238.64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69.660000000000011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450.54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4148.5199999999995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207.43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435.6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92.2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424.67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279.39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1439.29</v>
      </c>
    </row>
    <row r="120" spans="1:9" ht="15.75" customHeight="1">
      <c r="A120" s="238"/>
      <c r="B120" s="238"/>
      <c r="C120" s="238"/>
      <c r="D120" s="238"/>
      <c r="E120" s="238"/>
      <c r="F120" s="238"/>
      <c r="G120" s="238"/>
      <c r="H120" s="238"/>
      <c r="I120" s="238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4791.55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5587.81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796.26000000000022</v>
      </c>
    </row>
    <row r="129" spans="1:9" ht="15.75" customHeight="1">
      <c r="A129" s="236" t="s">
        <v>445</v>
      </c>
      <c r="B129" s="236"/>
      <c r="C129" s="236"/>
      <c r="D129" s="236"/>
      <c r="E129" s="236"/>
      <c r="F129" s="236"/>
      <c r="G129" s="236"/>
      <c r="H129" s="236"/>
      <c r="I129" s="236"/>
    </row>
    <row r="130" spans="1:9" ht="15.75" customHeight="1">
      <c r="A130" s="236" t="s">
        <v>446</v>
      </c>
      <c r="B130" s="236"/>
      <c r="C130" s="236"/>
      <c r="D130" s="236"/>
      <c r="E130" s="236"/>
      <c r="F130" s="236"/>
      <c r="G130" s="236"/>
      <c r="H130" s="236"/>
      <c r="I130" s="133" t="s">
        <v>342</v>
      </c>
    </row>
    <row r="131" spans="1:9" ht="15.75" customHeight="1">
      <c r="A131" s="132" t="s">
        <v>314</v>
      </c>
      <c r="B131" s="237" t="str">
        <f>A21</f>
        <v>MÓDULO 1 - COMPOSIÇÃO DA REMUNERAÇÃO</v>
      </c>
      <c r="C131" s="237"/>
      <c r="D131" s="237"/>
      <c r="E131" s="237"/>
      <c r="F131" s="237"/>
      <c r="G131" s="237"/>
      <c r="H131" s="237"/>
      <c r="I131" s="143">
        <f>I29</f>
        <v>1747.04</v>
      </c>
    </row>
    <row r="132" spans="1:9" ht="15.75" customHeight="1">
      <c r="A132" s="132" t="s">
        <v>316</v>
      </c>
      <c r="B132" s="237" t="str">
        <f>A31</f>
        <v>MÓDULO 2 – ENCARGOS E BENEFÍCIOS ANUAIS, MENSAIS E DIÁRIOS</v>
      </c>
      <c r="C132" s="237"/>
      <c r="D132" s="237"/>
      <c r="E132" s="237"/>
      <c r="F132" s="237"/>
      <c r="G132" s="237"/>
      <c r="H132" s="237"/>
      <c r="I132" s="143">
        <f>I62</f>
        <v>1642.6399999999996</v>
      </c>
    </row>
    <row r="133" spans="1:9" ht="15.75" customHeight="1">
      <c r="A133" s="132" t="s">
        <v>319</v>
      </c>
      <c r="B133" s="237" t="str">
        <f>A66</f>
        <v>MÓDULO 3 – PROVISÃO PARA RESCISÃO</v>
      </c>
      <c r="C133" s="237"/>
      <c r="D133" s="237"/>
      <c r="E133" s="237"/>
      <c r="F133" s="237"/>
      <c r="G133" s="237"/>
      <c r="H133" s="237"/>
      <c r="I133" s="143">
        <f>I73</f>
        <v>238.64</v>
      </c>
    </row>
    <row r="134" spans="1:9" ht="15.75" customHeight="1">
      <c r="A134" s="132" t="s">
        <v>321</v>
      </c>
      <c r="B134" s="237" t="str">
        <f>A78</f>
        <v>MÓDULO 4 – CUSTO DE REPOSIÇÃO DO PROFISSIONAL AUSENTE</v>
      </c>
      <c r="C134" s="237"/>
      <c r="D134" s="237"/>
      <c r="E134" s="237"/>
      <c r="F134" s="237"/>
      <c r="G134" s="237"/>
      <c r="H134" s="237"/>
      <c r="I134" s="143">
        <f>I96</f>
        <v>69.660000000000011</v>
      </c>
    </row>
    <row r="135" spans="1:9" ht="15.75" customHeight="1">
      <c r="A135" s="132" t="s">
        <v>347</v>
      </c>
      <c r="B135" s="237" t="str">
        <f>A98</f>
        <v>MÓDULO 5 – INSUMOS DIVERSOS</v>
      </c>
      <c r="C135" s="237"/>
      <c r="D135" s="237"/>
      <c r="E135" s="237"/>
      <c r="F135" s="237"/>
      <c r="G135" s="237"/>
      <c r="H135" s="237"/>
      <c r="I135" s="143">
        <f>I104</f>
        <v>450.54</v>
      </c>
    </row>
    <row r="136" spans="1:9" ht="15.75" customHeight="1">
      <c r="A136" s="236" t="s">
        <v>447</v>
      </c>
      <c r="B136" s="236"/>
      <c r="C136" s="236"/>
      <c r="D136" s="236"/>
      <c r="E136" s="236"/>
      <c r="F136" s="236"/>
      <c r="G136" s="236"/>
      <c r="H136" s="236"/>
      <c r="I136" s="142">
        <f>SUM(I131:I135)</f>
        <v>4148.5199999999995</v>
      </c>
    </row>
    <row r="137" spans="1:9" ht="15.75" customHeight="1">
      <c r="A137" s="132" t="s">
        <v>349</v>
      </c>
      <c r="B137" s="237" t="str">
        <f>A111</f>
        <v>MÓDULO 6 – CUSTOS INDIRETOS, TRIBUTOS E LUCRO</v>
      </c>
      <c r="C137" s="237"/>
      <c r="D137" s="237"/>
      <c r="E137" s="237"/>
      <c r="F137" s="237"/>
      <c r="G137" s="237"/>
      <c r="H137" s="237"/>
      <c r="I137" s="143">
        <f>I119</f>
        <v>1439.29</v>
      </c>
    </row>
    <row r="138" spans="1:9" ht="15.75" customHeight="1">
      <c r="A138" s="236" t="s">
        <v>448</v>
      </c>
      <c r="B138" s="236"/>
      <c r="C138" s="236"/>
      <c r="D138" s="236"/>
      <c r="E138" s="236"/>
      <c r="F138" s="236"/>
      <c r="G138" s="236"/>
      <c r="H138" s="236"/>
      <c r="I138" s="142">
        <f>SUM(I136:I137)</f>
        <v>5587.8099999999995</v>
      </c>
    </row>
    <row r="139" spans="1:9" ht="27" customHeight="1">
      <c r="A139" s="252" t="s">
        <v>452</v>
      </c>
      <c r="B139" s="252"/>
      <c r="C139" s="252"/>
      <c r="D139" s="252"/>
      <c r="E139" s="252"/>
      <c r="F139" s="252"/>
      <c r="G139" s="253" t="s">
        <v>453</v>
      </c>
      <c r="H139" s="253"/>
      <c r="I139" s="167" t="s">
        <v>454</v>
      </c>
    </row>
    <row r="140" spans="1:9" ht="15.75" customHeight="1">
      <c r="A140" s="254">
        <f>E13</f>
        <v>3</v>
      </c>
      <c r="B140" s="254"/>
      <c r="C140" s="254"/>
      <c r="D140" s="254"/>
      <c r="E140" s="254"/>
      <c r="F140" s="254"/>
      <c r="G140" s="255">
        <f>I138</f>
        <v>5587.8099999999995</v>
      </c>
      <c r="H140" s="255"/>
      <c r="I140" s="168">
        <f>A140*G140</f>
        <v>16763.43</v>
      </c>
    </row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8">
    <mergeCell ref="B134:H134"/>
    <mergeCell ref="B135:H135"/>
    <mergeCell ref="A136:H136"/>
    <mergeCell ref="B137:H137"/>
    <mergeCell ref="A138:H138"/>
    <mergeCell ref="A139:F139"/>
    <mergeCell ref="G139:H139"/>
    <mergeCell ref="A140:F140"/>
    <mergeCell ref="G140:H140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0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7"/>
  <sheetViews>
    <sheetView view="pageBreakPreview" topLeftCell="A39" zoomScale="80" zoomScaleNormal="100" zoomScalePageLayoutView="80" workbookViewId="0">
      <selection activeCell="I69" sqref="I69"/>
    </sheetView>
  </sheetViews>
  <sheetFormatPr defaultRowHeight="14.4"/>
  <cols>
    <col min="1" max="1" width="7.44140625" customWidth="1"/>
    <col min="2" max="2" width="12.44140625" customWidth="1"/>
    <col min="3" max="3" width="15" customWidth="1"/>
    <col min="4" max="4" width="15.33203125" customWidth="1"/>
    <col min="5" max="5" width="13.44140625" customWidth="1"/>
    <col min="6" max="6" width="13.5546875" customWidth="1"/>
    <col min="7" max="7" width="14.88671875" customWidth="1"/>
    <col min="8" max="8" width="13.5546875" customWidth="1"/>
    <col min="9" max="9" width="32.6640625" customWidth="1"/>
    <col min="10" max="10" width="7.109375" customWidth="1"/>
    <col min="11" max="12" width="10.5546875" customWidth="1"/>
    <col min="13" max="13" width="7.109375" customWidth="1"/>
    <col min="14" max="14" width="10.5546875" customWidth="1"/>
    <col min="15" max="1025" width="14.44140625" customWidth="1"/>
  </cols>
  <sheetData>
    <row r="1" spans="1:10">
      <c r="A1" s="233" t="s">
        <v>455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 ht="12.75" customHeight="1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</row>
    <row r="15" spans="1:10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2" t="s">
        <v>457</v>
      </c>
      <c r="J15" s="169"/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14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14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14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14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14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14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14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71">
        <f>SUM(I51:I54)</f>
        <v>447.03</v>
      </c>
    </row>
    <row r="56" spans="1:14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14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14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14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14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  <c r="N60" s="172"/>
    </row>
    <row r="61" spans="1:14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14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14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14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14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14" ht="15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14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14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14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14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14" ht="15.75" customHeight="1">
      <c r="A71" s="173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14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14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14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14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14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  <c r="N76" s="174"/>
    </row>
    <row r="77" spans="1:14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14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14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14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12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ROUND((2/30)/12,4)</f>
        <v>5.5999999999999999E-3</v>
      </c>
      <c r="I81" s="143">
        <f t="shared" si="1"/>
        <v>17.27</v>
      </c>
      <c r="L81" s="174"/>
    </row>
    <row r="82" spans="1:12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  <c r="K82" s="174"/>
    </row>
    <row r="83" spans="1:12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12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12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12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12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12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12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12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12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12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12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12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12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12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MATERIAIS!F69</f>
        <v>743.49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EPIS!F16</f>
        <v>13.362499999999999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UNIFORMES!G22</f>
        <v>22.25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EQUIPAMENTOS'!I47</f>
        <v>0.14000000000000001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779.24249999999995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779.24249999999995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3922.0225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196.1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411.81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87.16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401.49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264.14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1360.6999999999998</v>
      </c>
    </row>
    <row r="120" spans="1:9" ht="15.75" customHeight="1">
      <c r="A120" s="175"/>
      <c r="B120" s="256"/>
      <c r="C120" s="256"/>
      <c r="D120" s="256"/>
      <c r="E120" s="256"/>
      <c r="F120" s="256"/>
      <c r="G120" s="256"/>
      <c r="H120" s="256"/>
      <c r="I120" s="256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58"/>
      <c r="C123" s="158"/>
      <c r="D123" s="158"/>
      <c r="E123" s="158"/>
      <c r="F123" s="158"/>
      <c r="G123" s="158"/>
      <c r="H123" s="159"/>
      <c r="I123" s="160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4529.9325000000008</v>
      </c>
    </row>
    <row r="125" spans="1:9" ht="15.75" customHeight="1">
      <c r="A125" s="157"/>
      <c r="B125" s="158"/>
      <c r="C125" s="158"/>
      <c r="D125" s="158"/>
      <c r="E125" s="158"/>
      <c r="F125" s="158"/>
      <c r="G125" s="158"/>
      <c r="H125" s="159"/>
      <c r="I125" s="160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5282.72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752.78749999999945</v>
      </c>
    </row>
    <row r="129" spans="1:9" ht="15.75" customHeight="1">
      <c r="A129" s="175"/>
      <c r="B129" s="176"/>
      <c r="C129" s="176"/>
      <c r="D129" s="176"/>
      <c r="E129" s="176"/>
      <c r="F129" s="176"/>
      <c r="G129" s="176"/>
      <c r="H129" s="176"/>
      <c r="I129" s="177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779.24249999999995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3922.0225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1360.6999999999998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5282.7224999999999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4">
    <mergeCell ref="B135:H135"/>
    <mergeCell ref="B136:H136"/>
    <mergeCell ref="A137:H137"/>
    <mergeCell ref="B138:H138"/>
    <mergeCell ref="A139:H13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0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7"/>
  <sheetViews>
    <sheetView view="pageBreakPreview" topLeftCell="A30" zoomScale="80" zoomScaleNormal="100" zoomScalePageLayoutView="80" workbookViewId="0">
      <selection activeCell="I60" sqref="I60"/>
    </sheetView>
  </sheetViews>
  <sheetFormatPr defaultRowHeight="14.4"/>
  <cols>
    <col min="1" max="1" width="7.44140625" customWidth="1"/>
    <col min="2" max="2" width="9" customWidth="1"/>
    <col min="3" max="3" width="14.109375" customWidth="1"/>
    <col min="4" max="4" width="12" customWidth="1"/>
    <col min="5" max="5" width="12.44140625" customWidth="1"/>
    <col min="6" max="6" width="11.44140625"/>
    <col min="7" max="7" width="15.109375" customWidth="1"/>
    <col min="8" max="8" width="14.6640625" customWidth="1"/>
    <col min="9" max="9" width="28.109375" customWidth="1"/>
    <col min="10" max="10" width="7.109375" customWidth="1"/>
    <col min="11" max="26" width="8.6640625" customWidth="1"/>
    <col min="27" max="1025" width="14.44140625" customWidth="1"/>
  </cols>
  <sheetData>
    <row r="1" spans="1:10">
      <c r="A1" s="233" t="s">
        <v>459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4"/>
      <c r="B2" s="234"/>
      <c r="C2" s="234"/>
      <c r="D2" s="234"/>
      <c r="E2" s="234"/>
      <c r="F2" s="234"/>
      <c r="G2" s="234"/>
      <c r="H2" s="234"/>
      <c r="I2" s="234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>
        <v>0.2</v>
      </c>
      <c r="I25" s="140">
        <f>ROUND(1518*20%,2)</f>
        <v>303.60000000000002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1749.15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145.69999999999999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211.65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357.35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1749.15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357.35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2106.5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421.3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52.66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126.39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31.6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21.07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12.64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4.21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168.52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838.3900000000001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357.35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838.3900000000001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1642.7700000000002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1749.15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1642.7700000000002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3391.92</v>
      </c>
    </row>
    <row r="66" spans="1:9" ht="15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27.75" customHeight="1">
      <c r="A67" s="133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14.25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1.02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62.75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25.1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135.68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238.8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1749.15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1642.7700000000002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238.8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3630.7200000000003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33.770000000000003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20.329999999999998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1.0900000000000001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11.98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2.54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69.710000000000008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69.710000000000008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69.710000000000008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MATERIAIS!F69</f>
        <v>743.49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EPIS!F22</f>
        <v>12.799999999999999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UNIFORMES!G12</f>
        <v>25.88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EQUIPAMENTOS'!I47</f>
        <v>0.14000000000000001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782.31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1749.15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1642.7700000000002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238.8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69.710000000000008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782.31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4482.74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224.14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470.69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99.63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458.89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301.89999999999998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1555.25</v>
      </c>
    </row>
    <row r="120" spans="1:9" ht="15.75" customHeight="1">
      <c r="A120" s="238"/>
      <c r="B120" s="238"/>
      <c r="C120" s="238"/>
      <c r="D120" s="238"/>
      <c r="E120" s="238"/>
      <c r="F120" s="238"/>
      <c r="G120" s="238"/>
      <c r="H120" s="238"/>
      <c r="I120" s="238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5177.57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6037.98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860.40999999999985</v>
      </c>
    </row>
    <row r="129" spans="1:9" ht="15.75" customHeight="1">
      <c r="A129" s="175"/>
      <c r="B129" s="176"/>
      <c r="C129" s="176"/>
      <c r="D129" s="176"/>
      <c r="E129" s="176"/>
      <c r="F129" s="176"/>
      <c r="G129" s="176"/>
      <c r="H129" s="176"/>
      <c r="I129" s="177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1749.15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1642.7700000000002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238.8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69.710000000000008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782.31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4482.74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1555.25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6037.99</v>
      </c>
    </row>
    <row r="140" spans="1:9" ht="15.75" customHeight="1">
      <c r="E140" s="178"/>
      <c r="F140" s="178"/>
      <c r="G140" s="178"/>
    </row>
    <row r="141" spans="1:9" ht="15.75" customHeight="1">
      <c r="A141" s="179" t="s">
        <v>460</v>
      </c>
      <c r="B141" s="180"/>
      <c r="C141" s="180"/>
      <c r="D141" s="180"/>
      <c r="E141" s="180"/>
      <c r="F141" s="180"/>
      <c r="G141" s="180"/>
    </row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4">
    <mergeCell ref="B135:H135"/>
    <mergeCell ref="B136:H136"/>
    <mergeCell ref="A137:H137"/>
    <mergeCell ref="B138:H138"/>
    <mergeCell ref="A139:H13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97"/>
  <sheetViews>
    <sheetView view="pageBreakPreview" topLeftCell="A30" zoomScale="80" zoomScaleNormal="100" zoomScalePageLayoutView="80" workbookViewId="0">
      <selection activeCell="A57" sqref="A57:I57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461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MATERIAIS!F69</f>
        <v>743.49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EPIS!F16</f>
        <v>13.362499999999999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UNIFORMES!G22</f>
        <v>22.25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EQUIPAMENTOS'!I47</f>
        <v>0.14000000000000001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779.24249999999995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779.24249999999995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3922.0225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196.1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411.81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87.16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401.49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264.14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1360.6999999999998</v>
      </c>
    </row>
    <row r="120" spans="1:9" ht="15.75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4529.9325000000008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5282.72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752.78749999999945</v>
      </c>
    </row>
    <row r="129" spans="1:9" ht="15.75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779.24249999999995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3922.0225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1360.6999999999998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5282.7224999999999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97"/>
  <sheetViews>
    <sheetView view="pageBreakPreview" topLeftCell="A38" zoomScale="80" zoomScaleNormal="100" zoomScalePageLayoutView="80" workbookViewId="0">
      <selection activeCell="I58" sqref="I58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462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>
        <v>0.2</v>
      </c>
      <c r="I25" s="140">
        <f>ROUND(1518*20%,2)</f>
        <v>303.60000000000002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1749.15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145.69999999999999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211.65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357.35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1749.15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357.35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2106.5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421.3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52.66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126.39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31.6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21.07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12.64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4.21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168.52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838.3900000000001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357.35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838.3900000000001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1642.7700000000002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1749.15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1642.7700000000002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3391.92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14.25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1.02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62.75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25.1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135.68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238.8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1749.15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1642.7700000000002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238.8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3630.7200000000003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33.770000000000003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20.329999999999998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1.0900000000000001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11.98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2.54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69.710000000000008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69.710000000000008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69.710000000000008</v>
      </c>
    </row>
    <row r="97" spans="1:9" ht="9.9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MATERIAIS!F69</f>
        <v>743.49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EPIS!F22</f>
        <v>12.799999999999999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UNIFORMES!G12</f>
        <v>25.88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EQUIPAMENTOS'!I47</f>
        <v>0.14000000000000001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782.31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1749.15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1642.7700000000002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238.8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69.710000000000008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782.31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4482.74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224.14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470.69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99.63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458.89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301.89999999999998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1555.25</v>
      </c>
    </row>
    <row r="120" spans="1:9" ht="9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5177.57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6037.98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860.40999999999985</v>
      </c>
    </row>
    <row r="129" spans="1:9" ht="15.75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1749.15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1642.7700000000002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238.8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69.710000000000008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782.31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4482.74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1555.25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6037.99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97"/>
  <sheetViews>
    <sheetView view="pageBreakPreview" topLeftCell="A107" zoomScale="80" zoomScaleNormal="100" zoomScalePageLayoutView="80" workbookViewId="0">
      <selection activeCell="I138" sqref="I138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463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MATERIAIS!F69</f>
        <v>743.49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EPIS!F16</f>
        <v>13.362499999999999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UNIFORMES!G22</f>
        <v>22.25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EQUIPAMENTOS'!I47</f>
        <v>0.14000000000000001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779.24249999999995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779.24249999999995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3922.0225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196.1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411.81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87.16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401.49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264.14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1360.6999999999998</v>
      </c>
    </row>
    <row r="120" spans="1:9" ht="8.1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4529.9325000000008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5282.72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752.78749999999945</v>
      </c>
    </row>
    <row r="129" spans="1:9" ht="8.1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779.24249999999995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3922.0225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1360.6999999999998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5282.7224999999999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97"/>
  <sheetViews>
    <sheetView view="pageBreakPreview" topLeftCell="A31" zoomScale="80" zoomScaleNormal="100" zoomScalePageLayoutView="80" workbookViewId="0">
      <selection activeCell="A56" sqref="A56:I56"/>
    </sheetView>
  </sheetViews>
  <sheetFormatPr defaultRowHeight="14.4"/>
  <cols>
    <col min="1" max="1" width="7.44140625" customWidth="1"/>
    <col min="2" max="2" width="9" customWidth="1"/>
    <col min="3" max="3" width="14.21875" customWidth="1"/>
    <col min="4" max="4" width="11.88671875" customWidth="1"/>
    <col min="5" max="5" width="12.44140625" customWidth="1"/>
    <col min="6" max="6" width="11.33203125" customWidth="1"/>
    <col min="7" max="7" width="14.44140625" customWidth="1"/>
    <col min="8" max="8" width="14.66406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464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4"/>
      <c r="B2" s="234"/>
      <c r="C2" s="234"/>
      <c r="D2" s="234"/>
      <c r="E2" s="234"/>
      <c r="F2" s="234"/>
      <c r="G2" s="234"/>
      <c r="H2" s="234"/>
      <c r="I2" s="234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40.200000000000003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465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>
        <v>0.4</v>
      </c>
      <c r="I25" s="140">
        <f>ROUND(1518*40%,2)</f>
        <v>607.20000000000005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2052.75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170.99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248.38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419.37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2052.75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419.37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2472.12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494.42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61.8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148.33000000000001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37.08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24.72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14.83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4.9400000000000004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197.77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983.89000000000021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419.37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983.89000000000021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1850.2900000000002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2052.75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1850.2900000000002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3903.04</v>
      </c>
    </row>
    <row r="66" spans="1:9" ht="15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27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16.39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1.17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72.209999999999994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28.88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156.12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274.77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2052.75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1850.2900000000002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274.77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4177.8099999999995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38.85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23.4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1.25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13.79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2.92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80.209999999999994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80.209999999999994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80.209999999999994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MATERIAIS!F69</f>
        <v>743.49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EPIS!F22</f>
        <v>12.799999999999999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UNIFORMES!G12</f>
        <v>25.88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EQUIPAMENTOS'!I47</f>
        <v>0.14000000000000001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782.31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2052.75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1850.2900000000002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274.77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80.209999999999994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782.31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5040.33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252.02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529.24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112.02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515.97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339.45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1748.7</v>
      </c>
    </row>
    <row r="120" spans="1:9" ht="15.75" customHeight="1">
      <c r="A120" s="238"/>
      <c r="B120" s="238"/>
      <c r="C120" s="238"/>
      <c r="D120" s="238"/>
      <c r="E120" s="238"/>
      <c r="F120" s="238"/>
      <c r="G120" s="238"/>
      <c r="H120" s="238"/>
      <c r="I120" s="238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5821.59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6789.03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967.4399999999996</v>
      </c>
    </row>
    <row r="129" spans="1:9" ht="15.75" customHeight="1">
      <c r="A129" s="175"/>
      <c r="B129" s="176"/>
      <c r="C129" s="176"/>
      <c r="D129" s="176"/>
      <c r="E129" s="176"/>
      <c r="F129" s="176"/>
      <c r="G129" s="176"/>
      <c r="H129" s="176"/>
      <c r="I129" s="177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143">
        <f>I29</f>
        <v>2052.75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143">
        <f>I62</f>
        <v>1850.2900000000002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143">
        <f>I73</f>
        <v>274.77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143">
        <f>I96</f>
        <v>80.209999999999994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143">
        <f>I104</f>
        <v>782.31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5040.33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143">
        <f>I119</f>
        <v>1748.7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6789.03</v>
      </c>
    </row>
    <row r="140" spans="1:9" ht="15.75" customHeight="1">
      <c r="A140" s="185"/>
      <c r="B140" s="186"/>
      <c r="C140" s="186"/>
      <c r="D140" s="186"/>
      <c r="E140" s="186"/>
      <c r="F140" s="186"/>
      <c r="G140" s="186"/>
      <c r="H140" s="185"/>
    </row>
    <row r="141" spans="1:9" ht="15.75" customHeight="1">
      <c r="A141" s="179" t="s">
        <v>460</v>
      </c>
      <c r="B141" s="180"/>
      <c r="C141" s="180"/>
      <c r="D141" s="180"/>
      <c r="E141" s="180"/>
      <c r="F141" s="180"/>
      <c r="G141" s="180"/>
      <c r="H141" s="185"/>
    </row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4">
    <mergeCell ref="B135:H135"/>
    <mergeCell ref="B136:H136"/>
    <mergeCell ref="A137:H137"/>
    <mergeCell ref="B138:H138"/>
    <mergeCell ref="A139:H13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97"/>
  <sheetViews>
    <sheetView view="pageBreakPreview" topLeftCell="A32" zoomScale="80" zoomScaleNormal="100" zoomScalePageLayoutView="80" workbookViewId="0">
      <selection activeCell="I62" sqref="I62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466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MATERIAIS!F70</f>
        <v>1.1100000000000001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EPIS!F8</f>
        <v>20.182857142857141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UNIFORMES!G32</f>
        <v>22.91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EQUIPAMENTOS'!I48</f>
        <v>5.72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49.92285714285714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49.92285714285714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3192.7028571428573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159.63999999999999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335.23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70.959999999999994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326.83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215.02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1107.68</v>
      </c>
    </row>
    <row r="120" spans="1:9" ht="8.1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3687.5728571428572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4300.38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612.80714285714294</v>
      </c>
    </row>
    <row r="129" spans="1:9" ht="9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49.92285714285714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3192.7028571428573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1107.68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4300.3828571428576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97"/>
  <sheetViews>
    <sheetView view="pageBreakPreview" topLeftCell="A37" zoomScale="80" zoomScaleNormal="100" zoomScalePageLayoutView="80" workbookViewId="0">
      <selection activeCell="A66" sqref="A66:I66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467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MATERIAIS!F70</f>
        <v>1.1100000000000001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EPIS!F8</f>
        <v>20.182857142857141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UNIFORMES!G32</f>
        <v>22.91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EQUIPAMENTOS'!I48</f>
        <v>5.72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49.92285714285714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49.92285714285714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3192.7028571428573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159.63999999999999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335.23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70.959999999999994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326.83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215.02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1107.68</v>
      </c>
    </row>
    <row r="120" spans="1:9" ht="6.9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3687.5728571428572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4300.38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612.80714285714294</v>
      </c>
    </row>
    <row r="129" spans="1:9" ht="8.1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49.92285714285714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3192.7028571428573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1107.68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4300.3828571428576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97"/>
  <sheetViews>
    <sheetView view="pageBreakPreview" topLeftCell="A26" zoomScale="80" zoomScaleNormal="100" zoomScalePageLayoutView="80" workbookViewId="0">
      <selection activeCell="A56" sqref="A56:I56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468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MATERIAIS!F70</f>
        <v>1.1100000000000001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EPIS!F8</f>
        <v>20.182857142857141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UNIFORMES!G32</f>
        <v>22.91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EQUIPAMENTOS'!I48</f>
        <v>5.72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49.92285714285714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49.92285714285714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3192.7028571428573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159.63999999999999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335.23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70.959999999999994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326.83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215.02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1107.68</v>
      </c>
    </row>
    <row r="120" spans="1:9" ht="15.75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3687.5728571428572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4300.38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612.80714285714294</v>
      </c>
    </row>
    <row r="129" spans="1:9" ht="15.75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49.92285714285714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3192.7028571428573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1107.68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4300.3828571428576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7"/>
  <sheetViews>
    <sheetView view="pageBreakPreview" topLeftCell="A26" zoomScale="80" zoomScaleNormal="100" zoomScalePageLayoutView="80" workbookViewId="0">
      <selection activeCell="A57" sqref="A57:I57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469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9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9.9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MATERIAIS!F70</f>
        <v>1.1100000000000001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EPIS!F8</f>
        <v>20.182857142857141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UNIFORMES!G32</f>
        <v>22.91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EQUIPAMENTOS'!I48</f>
        <v>5.72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49.92285714285714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49.92285714285714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3192.7028571428573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159.63999999999999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335.23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70.959999999999994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326.83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215.02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1107.68</v>
      </c>
    </row>
    <row r="120" spans="1:9" ht="15.75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3687.5728571428572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4300.38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612.80714285714294</v>
      </c>
    </row>
    <row r="129" spans="1:9" ht="15.75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49.92285714285714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3192.7028571428573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1107.68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4300.3828571428576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97"/>
  <sheetViews>
    <sheetView view="pageBreakPreview" topLeftCell="A30" zoomScale="80" zoomScaleNormal="100" zoomScalePageLayoutView="80" workbookViewId="0">
      <selection activeCell="I60" sqref="I60"/>
    </sheetView>
  </sheetViews>
  <sheetFormatPr defaultRowHeight="14.4"/>
  <cols>
    <col min="1" max="1" width="7.44140625" customWidth="1"/>
    <col min="2" max="2" width="10.88671875" customWidth="1"/>
    <col min="3" max="4" width="14.88671875" customWidth="1"/>
    <col min="5" max="5" width="12.44140625" customWidth="1"/>
    <col min="6" max="6" width="10.44140625" customWidth="1"/>
    <col min="7" max="7" width="14.6640625" customWidth="1"/>
    <col min="8" max="8" width="17.33203125" customWidth="1"/>
    <col min="9" max="9" width="28.5546875" customWidth="1"/>
    <col min="10" max="10" width="7.109375" customWidth="1"/>
    <col min="11" max="1025" width="14.44140625" customWidth="1"/>
  </cols>
  <sheetData>
    <row r="1" spans="1:10">
      <c r="A1" s="233" t="s">
        <v>470</v>
      </c>
      <c r="B1" s="233"/>
      <c r="C1" s="233"/>
      <c r="D1" s="233"/>
      <c r="E1" s="233"/>
      <c r="F1" s="233"/>
      <c r="G1" s="233"/>
      <c r="H1" s="233"/>
      <c r="I1" s="233"/>
    </row>
    <row r="2" spans="1:10">
      <c r="A2" s="233"/>
      <c r="B2" s="233"/>
      <c r="C2" s="233"/>
      <c r="D2" s="233"/>
      <c r="E2" s="233"/>
      <c r="F2" s="233"/>
      <c r="G2" s="233"/>
      <c r="H2" s="233"/>
      <c r="I2" s="233"/>
    </row>
    <row r="3" spans="1:10">
      <c r="A3" s="233" t="s">
        <v>311</v>
      </c>
      <c r="B3" s="233"/>
      <c r="C3" s="233"/>
      <c r="D3" s="233"/>
      <c r="E3" s="233"/>
      <c r="F3" s="233"/>
      <c r="G3" s="233"/>
      <c r="H3" s="235" t="s">
        <v>312</v>
      </c>
      <c r="I3" s="235"/>
    </row>
    <row r="4" spans="1:10">
      <c r="A4" s="233"/>
      <c r="B4" s="233"/>
      <c r="C4" s="233"/>
      <c r="D4" s="233"/>
      <c r="E4" s="233"/>
      <c r="F4" s="233"/>
      <c r="G4" s="233"/>
      <c r="H4" s="233"/>
      <c r="I4" s="233"/>
    </row>
    <row r="5" spans="1:10">
      <c r="A5" s="236" t="s">
        <v>313</v>
      </c>
      <c r="B5" s="236"/>
      <c r="C5" s="236"/>
      <c r="D5" s="236"/>
      <c r="E5" s="236"/>
      <c r="F5" s="236"/>
      <c r="G5" s="236"/>
      <c r="H5" s="236"/>
      <c r="I5" s="236"/>
    </row>
    <row r="6" spans="1:10">
      <c r="A6" s="132" t="s">
        <v>314</v>
      </c>
      <c r="B6" s="237" t="s">
        <v>315</v>
      </c>
      <c r="C6" s="237"/>
      <c r="D6" s="237"/>
      <c r="E6" s="237"/>
      <c r="F6" s="237"/>
      <c r="G6" s="237"/>
      <c r="H6" s="237"/>
      <c r="I6" s="134"/>
    </row>
    <row r="7" spans="1:10">
      <c r="A7" s="132" t="s">
        <v>316</v>
      </c>
      <c r="B7" s="237" t="s">
        <v>317</v>
      </c>
      <c r="C7" s="237"/>
      <c r="D7" s="237"/>
      <c r="E7" s="237"/>
      <c r="F7" s="237"/>
      <c r="G7" s="237"/>
      <c r="H7" s="237"/>
      <c r="I7" s="132" t="s">
        <v>318</v>
      </c>
    </row>
    <row r="8" spans="1:10">
      <c r="A8" s="132" t="s">
        <v>319</v>
      </c>
      <c r="B8" s="237" t="s">
        <v>320</v>
      </c>
      <c r="C8" s="237"/>
      <c r="D8" s="237"/>
      <c r="E8" s="237"/>
      <c r="F8" s="237"/>
      <c r="G8" s="237"/>
      <c r="H8" s="237"/>
      <c r="I8" s="132" t="s">
        <v>621</v>
      </c>
    </row>
    <row r="9" spans="1:10">
      <c r="A9" s="132" t="s">
        <v>321</v>
      </c>
      <c r="B9" s="237" t="s">
        <v>322</v>
      </c>
      <c r="C9" s="237"/>
      <c r="D9" s="237"/>
      <c r="E9" s="237"/>
      <c r="F9" s="237"/>
      <c r="G9" s="237"/>
      <c r="H9" s="237"/>
      <c r="I9" s="132">
        <v>6</v>
      </c>
    </row>
    <row r="10" spans="1:10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ht="12.75" customHeight="1">
      <c r="A11" s="236" t="s">
        <v>323</v>
      </c>
      <c r="B11" s="236"/>
      <c r="C11" s="236"/>
      <c r="D11" s="236"/>
      <c r="E11" s="236"/>
      <c r="F11" s="236"/>
      <c r="G11" s="236"/>
      <c r="H11" s="236"/>
      <c r="I11" s="236"/>
    </row>
    <row r="12" spans="1:10">
      <c r="A12" s="235" t="s">
        <v>324</v>
      </c>
      <c r="B12" s="235"/>
      <c r="C12" s="235" t="s">
        <v>325</v>
      </c>
      <c r="D12" s="235"/>
      <c r="E12" s="235" t="s">
        <v>326</v>
      </c>
      <c r="F12" s="235"/>
      <c r="G12" s="235"/>
      <c r="H12" s="235"/>
      <c r="I12" s="235"/>
    </row>
    <row r="13" spans="1:10">
      <c r="A13" s="239" t="s">
        <v>327</v>
      </c>
      <c r="B13" s="239"/>
      <c r="C13" s="240" t="s">
        <v>456</v>
      </c>
      <c r="D13" s="240"/>
      <c r="E13" s="235"/>
      <c r="F13" s="235"/>
      <c r="G13" s="235"/>
      <c r="H13" s="235"/>
      <c r="I13" s="235"/>
    </row>
    <row r="14" spans="1:10">
      <c r="A14" s="236" t="s">
        <v>329</v>
      </c>
      <c r="B14" s="236"/>
      <c r="C14" s="236"/>
      <c r="D14" s="236"/>
      <c r="E14" s="236"/>
      <c r="F14" s="236"/>
      <c r="G14" s="236"/>
      <c r="H14" s="236"/>
      <c r="I14" s="236"/>
      <c r="J14" s="169"/>
    </row>
    <row r="15" spans="1:10" ht="27">
      <c r="A15" s="132">
        <v>1</v>
      </c>
      <c r="B15" s="237" t="s">
        <v>330</v>
      </c>
      <c r="C15" s="237"/>
      <c r="D15" s="237"/>
      <c r="E15" s="237"/>
      <c r="F15" s="237"/>
      <c r="G15" s="237"/>
      <c r="H15" s="237"/>
      <c r="I15" s="135" t="s">
        <v>457</v>
      </c>
    </row>
    <row r="16" spans="1:10">
      <c r="A16" s="132">
        <v>2</v>
      </c>
      <c r="B16" s="237" t="s">
        <v>332</v>
      </c>
      <c r="C16" s="237"/>
      <c r="D16" s="237"/>
      <c r="E16" s="237"/>
      <c r="F16" s="237"/>
      <c r="G16" s="237"/>
      <c r="H16" s="237"/>
      <c r="I16" s="132" t="s">
        <v>458</v>
      </c>
    </row>
    <row r="17" spans="1:9">
      <c r="A17" s="132">
        <v>3</v>
      </c>
      <c r="B17" s="237" t="s">
        <v>334</v>
      </c>
      <c r="C17" s="237"/>
      <c r="D17" s="237"/>
      <c r="E17" s="237"/>
      <c r="F17" s="237"/>
      <c r="G17" s="237"/>
      <c r="H17" s="237"/>
      <c r="I17" s="170">
        <v>1445.55</v>
      </c>
    </row>
    <row r="18" spans="1:9" ht="39.6">
      <c r="A18" s="137">
        <v>4</v>
      </c>
      <c r="B18" s="241" t="s">
        <v>335</v>
      </c>
      <c r="C18" s="241"/>
      <c r="D18" s="241"/>
      <c r="E18" s="241"/>
      <c r="F18" s="241"/>
      <c r="G18" s="241"/>
      <c r="H18" s="241"/>
      <c r="I18" s="138" t="s">
        <v>336</v>
      </c>
    </row>
    <row r="19" spans="1:9">
      <c r="A19" s="132">
        <v>5</v>
      </c>
      <c r="B19" s="237" t="s">
        <v>337</v>
      </c>
      <c r="C19" s="237"/>
      <c r="D19" s="237"/>
      <c r="E19" s="237"/>
      <c r="F19" s="237"/>
      <c r="G19" s="237"/>
      <c r="H19" s="237"/>
      <c r="I19" s="134" t="s">
        <v>338</v>
      </c>
    </row>
    <row r="20" spans="1:9">
      <c r="A20" s="242"/>
      <c r="B20" s="242"/>
      <c r="C20" s="242"/>
      <c r="D20" s="242"/>
      <c r="E20" s="242"/>
      <c r="F20" s="242"/>
      <c r="G20" s="242"/>
      <c r="H20" s="242"/>
      <c r="I20" s="242"/>
    </row>
    <row r="21" spans="1:9" ht="15.75" customHeight="1">
      <c r="A21" s="236" t="s">
        <v>339</v>
      </c>
      <c r="B21" s="236"/>
      <c r="C21" s="236"/>
      <c r="D21" s="236"/>
      <c r="E21" s="236"/>
      <c r="F21" s="236"/>
      <c r="G21" s="236"/>
      <c r="H21" s="236"/>
      <c r="I21" s="236"/>
    </row>
    <row r="22" spans="1:9" ht="15.75" customHeight="1">
      <c r="A22" s="131">
        <v>1</v>
      </c>
      <c r="B22" s="236" t="s">
        <v>340</v>
      </c>
      <c r="C22" s="236"/>
      <c r="D22" s="236"/>
      <c r="E22" s="236"/>
      <c r="F22" s="236"/>
      <c r="G22" s="236"/>
      <c r="H22" s="133" t="s">
        <v>341</v>
      </c>
      <c r="I22" s="133" t="s">
        <v>342</v>
      </c>
    </row>
    <row r="23" spans="1:9" ht="15.75" customHeight="1">
      <c r="A23" s="131" t="s">
        <v>314</v>
      </c>
      <c r="B23" s="237" t="s">
        <v>343</v>
      </c>
      <c r="C23" s="237"/>
      <c r="D23" s="237"/>
      <c r="E23" s="237"/>
      <c r="F23" s="237"/>
      <c r="G23" s="237"/>
      <c r="H23" s="139"/>
      <c r="I23" s="140">
        <f>I17</f>
        <v>1445.55</v>
      </c>
    </row>
    <row r="24" spans="1:9" ht="15.75" customHeight="1">
      <c r="A24" s="131" t="s">
        <v>316</v>
      </c>
      <c r="B24" s="237" t="s">
        <v>344</v>
      </c>
      <c r="C24" s="237"/>
      <c r="D24" s="237"/>
      <c r="E24" s="237"/>
      <c r="F24" s="237"/>
      <c r="G24" s="237"/>
      <c r="H24" s="141"/>
      <c r="I24" s="140">
        <v>0</v>
      </c>
    </row>
    <row r="25" spans="1:9" ht="15.75" customHeight="1">
      <c r="A25" s="131" t="s">
        <v>319</v>
      </c>
      <c r="B25" s="237" t="s">
        <v>345</v>
      </c>
      <c r="C25" s="237"/>
      <c r="D25" s="237"/>
      <c r="E25" s="237"/>
      <c r="F25" s="237"/>
      <c r="G25" s="237"/>
      <c r="H25" s="141"/>
      <c r="I25" s="140">
        <v>0</v>
      </c>
    </row>
    <row r="26" spans="1:9" ht="15.75" customHeight="1">
      <c r="A26" s="131" t="s">
        <v>321</v>
      </c>
      <c r="B26" s="237" t="s">
        <v>346</v>
      </c>
      <c r="C26" s="237"/>
      <c r="D26" s="237"/>
      <c r="E26" s="237"/>
      <c r="F26" s="237"/>
      <c r="G26" s="237"/>
      <c r="H26" s="141"/>
      <c r="I26" s="140">
        <v>0</v>
      </c>
    </row>
    <row r="27" spans="1:9" ht="15.75" customHeight="1">
      <c r="A27" s="131" t="s">
        <v>347</v>
      </c>
      <c r="B27" s="237" t="s">
        <v>348</v>
      </c>
      <c r="C27" s="237"/>
      <c r="D27" s="237"/>
      <c r="E27" s="237"/>
      <c r="F27" s="237"/>
      <c r="G27" s="237"/>
      <c r="H27" s="141"/>
      <c r="I27" s="140">
        <v>0</v>
      </c>
    </row>
    <row r="28" spans="1:9" ht="15.75" customHeight="1">
      <c r="A28" s="131" t="s">
        <v>349</v>
      </c>
      <c r="B28" s="237" t="s">
        <v>350</v>
      </c>
      <c r="C28" s="237"/>
      <c r="D28" s="237"/>
      <c r="E28" s="237"/>
      <c r="F28" s="237"/>
      <c r="G28" s="237"/>
      <c r="H28" s="141"/>
      <c r="I28" s="140">
        <v>0</v>
      </c>
    </row>
    <row r="29" spans="1:9" ht="15.75" customHeight="1">
      <c r="A29" s="236" t="s">
        <v>351</v>
      </c>
      <c r="B29" s="236"/>
      <c r="C29" s="236"/>
      <c r="D29" s="236"/>
      <c r="E29" s="236"/>
      <c r="F29" s="236"/>
      <c r="G29" s="236"/>
      <c r="H29" s="236"/>
      <c r="I29" s="142">
        <f>SUM(I23:I28)</f>
        <v>1445.55</v>
      </c>
    </row>
    <row r="30" spans="1:9" ht="15.75" customHeight="1">
      <c r="A30" s="234"/>
      <c r="B30" s="234"/>
      <c r="C30" s="234"/>
      <c r="D30" s="234"/>
      <c r="E30" s="234"/>
      <c r="F30" s="234"/>
      <c r="G30" s="234"/>
      <c r="H30" s="234"/>
      <c r="I30" s="234"/>
    </row>
    <row r="31" spans="1:9" ht="15.75" customHeight="1">
      <c r="A31" s="236" t="s">
        <v>352</v>
      </c>
      <c r="B31" s="236"/>
      <c r="C31" s="236"/>
      <c r="D31" s="236"/>
      <c r="E31" s="236"/>
      <c r="F31" s="236"/>
      <c r="G31" s="236"/>
      <c r="H31" s="236"/>
      <c r="I31" s="236"/>
    </row>
    <row r="32" spans="1:9" ht="15.75" customHeight="1">
      <c r="A32" s="236" t="s">
        <v>353</v>
      </c>
      <c r="B32" s="236"/>
      <c r="C32" s="236"/>
      <c r="D32" s="236"/>
      <c r="E32" s="236"/>
      <c r="F32" s="236"/>
      <c r="G32" s="236"/>
      <c r="H32" s="133" t="s">
        <v>341</v>
      </c>
      <c r="I32" s="133" t="s">
        <v>342</v>
      </c>
    </row>
    <row r="33" spans="1:9" ht="15.75" customHeight="1">
      <c r="A33" s="131" t="s">
        <v>314</v>
      </c>
      <c r="B33" s="237" t="s">
        <v>354</v>
      </c>
      <c r="C33" s="237"/>
      <c r="D33" s="237"/>
      <c r="E33" s="237"/>
      <c r="F33" s="237"/>
      <c r="G33" s="237"/>
      <c r="H33" s="141">
        <f>ROUND(1/12,4)</f>
        <v>8.3299999999999999E-2</v>
      </c>
      <c r="I33" s="143">
        <f>ROUND(I29*H33,2)</f>
        <v>120.41</v>
      </c>
    </row>
    <row r="34" spans="1:9" ht="15.75" customHeight="1">
      <c r="A34" s="131" t="s">
        <v>316</v>
      </c>
      <c r="B34" s="237" t="s">
        <v>355</v>
      </c>
      <c r="C34" s="237"/>
      <c r="D34" s="237"/>
      <c r="E34" s="237"/>
      <c r="F34" s="237"/>
      <c r="G34" s="237"/>
      <c r="H34" s="141">
        <v>0.121</v>
      </c>
      <c r="I34" s="143">
        <f>ROUND(I29*H34,2)</f>
        <v>174.91</v>
      </c>
    </row>
    <row r="35" spans="1:9" ht="15.75" customHeight="1">
      <c r="A35" s="236" t="s">
        <v>356</v>
      </c>
      <c r="B35" s="236"/>
      <c r="C35" s="236"/>
      <c r="D35" s="236"/>
      <c r="E35" s="236"/>
      <c r="F35" s="236"/>
      <c r="G35" s="236"/>
      <c r="H35" s="144">
        <f>SUM(H33:H34)</f>
        <v>0.20429999999999998</v>
      </c>
      <c r="I35" s="142">
        <f>SUM(I33:I34)</f>
        <v>295.32</v>
      </c>
    </row>
    <row r="36" spans="1:9" ht="15.75" customHeight="1">
      <c r="A36" s="243" t="s">
        <v>357</v>
      </c>
      <c r="B36" s="243"/>
      <c r="C36" s="243"/>
      <c r="D36" s="243"/>
      <c r="E36" s="243"/>
      <c r="F36" s="243"/>
      <c r="G36" s="244" t="s">
        <v>358</v>
      </c>
      <c r="H36" s="244"/>
      <c r="I36" s="145">
        <f>I29</f>
        <v>1445.55</v>
      </c>
    </row>
    <row r="37" spans="1:9" ht="15.75" customHeight="1">
      <c r="A37" s="243"/>
      <c r="B37" s="243"/>
      <c r="C37" s="243"/>
      <c r="D37" s="243"/>
      <c r="E37" s="243"/>
      <c r="F37" s="243"/>
      <c r="G37" s="244" t="s">
        <v>359</v>
      </c>
      <c r="H37" s="244"/>
      <c r="I37" s="145">
        <f>I35</f>
        <v>295.32</v>
      </c>
    </row>
    <row r="38" spans="1:9" ht="15.75" customHeight="1">
      <c r="A38" s="243"/>
      <c r="B38" s="243"/>
      <c r="C38" s="243"/>
      <c r="D38" s="243"/>
      <c r="E38" s="243"/>
      <c r="F38" s="243"/>
      <c r="G38" s="245" t="s">
        <v>360</v>
      </c>
      <c r="H38" s="245"/>
      <c r="I38" s="146">
        <f>SUM(I36:I37)</f>
        <v>1740.87</v>
      </c>
    </row>
    <row r="39" spans="1:9" ht="15.75" customHeight="1">
      <c r="A39" s="236" t="s">
        <v>361</v>
      </c>
      <c r="B39" s="236"/>
      <c r="C39" s="236"/>
      <c r="D39" s="236"/>
      <c r="E39" s="236"/>
      <c r="F39" s="236"/>
      <c r="G39" s="236"/>
      <c r="H39" s="133" t="s">
        <v>341</v>
      </c>
      <c r="I39" s="133" t="s">
        <v>342</v>
      </c>
    </row>
    <row r="40" spans="1:9" ht="15.75" customHeight="1">
      <c r="A40" s="131" t="s">
        <v>314</v>
      </c>
      <c r="B40" s="237" t="s">
        <v>362</v>
      </c>
      <c r="C40" s="237"/>
      <c r="D40" s="237"/>
      <c r="E40" s="237"/>
      <c r="F40" s="237"/>
      <c r="G40" s="237"/>
      <c r="H40" s="141">
        <v>0.2</v>
      </c>
      <c r="I40" s="143">
        <f t="shared" ref="I40:I47" si="0">ROUND($I$38*H40,2)</f>
        <v>348.17</v>
      </c>
    </row>
    <row r="41" spans="1:9" ht="15.75" customHeight="1">
      <c r="A41" s="131" t="s">
        <v>316</v>
      </c>
      <c r="B41" s="237" t="s">
        <v>363</v>
      </c>
      <c r="C41" s="237"/>
      <c r="D41" s="237"/>
      <c r="E41" s="237"/>
      <c r="F41" s="237"/>
      <c r="G41" s="237"/>
      <c r="H41" s="141">
        <v>2.5000000000000001E-2</v>
      </c>
      <c r="I41" s="143">
        <f t="shared" si="0"/>
        <v>43.52</v>
      </c>
    </row>
    <row r="42" spans="1:9" ht="15.75" customHeight="1">
      <c r="A42" s="131" t="s">
        <v>319</v>
      </c>
      <c r="B42" s="237" t="s">
        <v>364</v>
      </c>
      <c r="C42" s="237"/>
      <c r="D42" s="237"/>
      <c r="E42" s="237"/>
      <c r="F42" s="237"/>
      <c r="G42" s="237"/>
      <c r="H42" s="141">
        <v>0.06</v>
      </c>
      <c r="I42" s="143">
        <f t="shared" si="0"/>
        <v>104.45</v>
      </c>
    </row>
    <row r="43" spans="1:9" ht="15.75" customHeight="1">
      <c r="A43" s="131" t="s">
        <v>321</v>
      </c>
      <c r="B43" s="237" t="s">
        <v>365</v>
      </c>
      <c r="C43" s="237"/>
      <c r="D43" s="237"/>
      <c r="E43" s="237"/>
      <c r="F43" s="237"/>
      <c r="G43" s="237"/>
      <c r="H43" s="141">
        <v>1.4999999999999999E-2</v>
      </c>
      <c r="I43" s="143">
        <f t="shared" si="0"/>
        <v>26.11</v>
      </c>
    </row>
    <row r="44" spans="1:9" ht="15.75" customHeight="1">
      <c r="A44" s="131" t="s">
        <v>347</v>
      </c>
      <c r="B44" s="237" t="s">
        <v>366</v>
      </c>
      <c r="C44" s="237"/>
      <c r="D44" s="237"/>
      <c r="E44" s="237"/>
      <c r="F44" s="237"/>
      <c r="G44" s="237"/>
      <c r="H44" s="141">
        <v>0.01</v>
      </c>
      <c r="I44" s="143">
        <f t="shared" si="0"/>
        <v>17.41</v>
      </c>
    </row>
    <row r="45" spans="1:9" ht="15.75" customHeight="1">
      <c r="A45" s="131" t="s">
        <v>349</v>
      </c>
      <c r="B45" s="237" t="s">
        <v>367</v>
      </c>
      <c r="C45" s="237"/>
      <c r="D45" s="237"/>
      <c r="E45" s="237"/>
      <c r="F45" s="237"/>
      <c r="G45" s="237"/>
      <c r="H45" s="141">
        <v>6.0000000000000001E-3</v>
      </c>
      <c r="I45" s="143">
        <f t="shared" si="0"/>
        <v>10.45</v>
      </c>
    </row>
    <row r="46" spans="1:9" ht="15.75" customHeight="1">
      <c r="A46" s="131" t="s">
        <v>368</v>
      </c>
      <c r="B46" s="237" t="s">
        <v>369</v>
      </c>
      <c r="C46" s="237"/>
      <c r="D46" s="237"/>
      <c r="E46" s="237"/>
      <c r="F46" s="237"/>
      <c r="G46" s="237"/>
      <c r="H46" s="141">
        <v>2E-3</v>
      </c>
      <c r="I46" s="143">
        <f t="shared" si="0"/>
        <v>3.48</v>
      </c>
    </row>
    <row r="47" spans="1:9" ht="15.75" customHeight="1">
      <c r="A47" s="131" t="s">
        <v>370</v>
      </c>
      <c r="B47" s="237" t="s">
        <v>371</v>
      </c>
      <c r="C47" s="237"/>
      <c r="D47" s="237"/>
      <c r="E47" s="237"/>
      <c r="F47" s="237"/>
      <c r="G47" s="237"/>
      <c r="H47" s="141">
        <v>0.08</v>
      </c>
      <c r="I47" s="143">
        <f t="shared" si="0"/>
        <v>139.27000000000001</v>
      </c>
    </row>
    <row r="48" spans="1:9" ht="15.75" customHeight="1">
      <c r="A48" s="236" t="s">
        <v>372</v>
      </c>
      <c r="B48" s="236"/>
      <c r="C48" s="236"/>
      <c r="D48" s="236"/>
      <c r="E48" s="236"/>
      <c r="F48" s="236"/>
      <c r="G48" s="236"/>
      <c r="H48" s="144">
        <f>SUM(H40:H47)</f>
        <v>0.39800000000000008</v>
      </c>
      <c r="I48" s="142">
        <f>SUM(I40:I47)</f>
        <v>692.86</v>
      </c>
    </row>
    <row r="49" spans="1:9" ht="15.75" customHeight="1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15.75" customHeight="1">
      <c r="A50" s="236" t="s">
        <v>373</v>
      </c>
      <c r="B50" s="236"/>
      <c r="C50" s="236"/>
      <c r="D50" s="236"/>
      <c r="E50" s="236"/>
      <c r="F50" s="236"/>
      <c r="G50" s="236"/>
      <c r="H50" s="144"/>
      <c r="I50" s="133" t="s">
        <v>342</v>
      </c>
    </row>
    <row r="51" spans="1:9" ht="15.75" customHeight="1">
      <c r="A51" s="131" t="s">
        <v>314</v>
      </c>
      <c r="B51" s="242" t="s">
        <v>374</v>
      </c>
      <c r="C51" s="242"/>
      <c r="D51" s="242"/>
      <c r="E51" s="242"/>
      <c r="F51" s="242"/>
      <c r="G51" s="242"/>
      <c r="H51" s="147" t="s">
        <v>299</v>
      </c>
      <c r="I51" s="140">
        <v>0</v>
      </c>
    </row>
    <row r="52" spans="1:9" ht="15.75" customHeight="1">
      <c r="A52" s="131" t="s">
        <v>316</v>
      </c>
      <c r="B52" s="242" t="s">
        <v>375</v>
      </c>
      <c r="C52" s="242"/>
      <c r="D52" s="242"/>
      <c r="E52" s="242"/>
      <c r="F52" s="242"/>
      <c r="G52" s="242"/>
      <c r="H52" s="132" t="s">
        <v>299</v>
      </c>
      <c r="I52" s="140">
        <v>440.77</v>
      </c>
    </row>
    <row r="53" spans="1:9" ht="15.75" customHeight="1">
      <c r="A53" s="131" t="s">
        <v>319</v>
      </c>
      <c r="B53" s="242" t="s">
        <v>376</v>
      </c>
      <c r="C53" s="242"/>
      <c r="D53" s="242"/>
      <c r="E53" s="242"/>
      <c r="F53" s="242"/>
      <c r="G53" s="242"/>
      <c r="H53" s="132" t="s">
        <v>299</v>
      </c>
      <c r="I53" s="140">
        <v>0</v>
      </c>
    </row>
    <row r="54" spans="1:9" ht="15.75" customHeight="1">
      <c r="A54" s="131" t="s">
        <v>321</v>
      </c>
      <c r="B54" s="242" t="s">
        <v>377</v>
      </c>
      <c r="C54" s="242"/>
      <c r="D54" s="242"/>
      <c r="E54" s="242"/>
      <c r="F54" s="242"/>
      <c r="G54" s="242"/>
      <c r="H54" s="132" t="s">
        <v>299</v>
      </c>
      <c r="I54" s="140">
        <f>ROUND((I23*26)*0.002/12,2)</f>
        <v>6.26</v>
      </c>
    </row>
    <row r="55" spans="1:9" ht="15.75" customHeight="1">
      <c r="A55" s="236" t="s">
        <v>378</v>
      </c>
      <c r="B55" s="236"/>
      <c r="C55" s="236"/>
      <c r="D55" s="236"/>
      <c r="E55" s="236"/>
      <c r="F55" s="236"/>
      <c r="G55" s="236"/>
      <c r="H55" s="236"/>
      <c r="I55" s="142">
        <f>SUM(I51:I54)</f>
        <v>447.03</v>
      </c>
    </row>
    <row r="56" spans="1:9" ht="15.75" customHeight="1">
      <c r="A56" s="246"/>
      <c r="B56" s="246"/>
      <c r="C56" s="246"/>
      <c r="D56" s="246"/>
      <c r="E56" s="246"/>
      <c r="F56" s="246"/>
      <c r="G56" s="246"/>
      <c r="H56" s="246"/>
      <c r="I56" s="246"/>
    </row>
    <row r="57" spans="1:9" ht="15.75" customHeight="1">
      <c r="A57" s="236" t="s">
        <v>379</v>
      </c>
      <c r="B57" s="236"/>
      <c r="C57" s="236"/>
      <c r="D57" s="236"/>
      <c r="E57" s="236"/>
      <c r="F57" s="236"/>
      <c r="G57" s="236"/>
      <c r="H57" s="236"/>
      <c r="I57" s="236"/>
    </row>
    <row r="58" spans="1:9" ht="15.75" customHeight="1">
      <c r="A58" s="236" t="s">
        <v>380</v>
      </c>
      <c r="B58" s="236"/>
      <c r="C58" s="236"/>
      <c r="D58" s="236"/>
      <c r="E58" s="236"/>
      <c r="F58" s="236"/>
      <c r="G58" s="236"/>
      <c r="H58" s="236"/>
      <c r="I58" s="133" t="s">
        <v>342</v>
      </c>
    </row>
    <row r="59" spans="1:9" ht="15.75" customHeight="1">
      <c r="A59" s="131" t="s">
        <v>211</v>
      </c>
      <c r="B59" s="237" t="s">
        <v>381</v>
      </c>
      <c r="C59" s="237"/>
      <c r="D59" s="237"/>
      <c r="E59" s="237"/>
      <c r="F59" s="237"/>
      <c r="G59" s="237"/>
      <c r="H59" s="237"/>
      <c r="I59" s="143">
        <f>I35</f>
        <v>295.32</v>
      </c>
    </row>
    <row r="60" spans="1:9" ht="15.75" customHeight="1">
      <c r="A60" s="131" t="s">
        <v>241</v>
      </c>
      <c r="B60" s="237" t="s">
        <v>382</v>
      </c>
      <c r="C60" s="237"/>
      <c r="D60" s="237"/>
      <c r="E60" s="237"/>
      <c r="F60" s="237"/>
      <c r="G60" s="237"/>
      <c r="H60" s="237"/>
      <c r="I60" s="143">
        <f>I48</f>
        <v>692.86</v>
      </c>
    </row>
    <row r="61" spans="1:9" ht="15.75" customHeight="1">
      <c r="A61" s="131" t="s">
        <v>253</v>
      </c>
      <c r="B61" s="237" t="s">
        <v>383</v>
      </c>
      <c r="C61" s="237"/>
      <c r="D61" s="237"/>
      <c r="E61" s="237"/>
      <c r="F61" s="237"/>
      <c r="G61" s="237"/>
      <c r="H61" s="237"/>
      <c r="I61" s="143">
        <f>I55</f>
        <v>447.03</v>
      </c>
    </row>
    <row r="62" spans="1:9" ht="15.75" customHeight="1">
      <c r="A62" s="236" t="s">
        <v>384</v>
      </c>
      <c r="B62" s="236"/>
      <c r="C62" s="236"/>
      <c r="D62" s="236"/>
      <c r="E62" s="236"/>
      <c r="F62" s="236"/>
      <c r="G62" s="236"/>
      <c r="H62" s="236"/>
      <c r="I62" s="142">
        <f>SUM(I59:I61)</f>
        <v>1435.21</v>
      </c>
    </row>
    <row r="63" spans="1:9" ht="15.75" customHeight="1">
      <c r="A63" s="247" t="s">
        <v>385</v>
      </c>
      <c r="B63" s="247"/>
      <c r="C63" s="247"/>
      <c r="D63" s="247"/>
      <c r="E63" s="247"/>
      <c r="F63" s="247"/>
      <c r="G63" s="244" t="s">
        <v>358</v>
      </c>
      <c r="H63" s="244"/>
      <c r="I63" s="145">
        <f>I29</f>
        <v>1445.55</v>
      </c>
    </row>
    <row r="64" spans="1:9" ht="15.75" customHeight="1">
      <c r="A64" s="247"/>
      <c r="B64" s="247"/>
      <c r="C64" s="247"/>
      <c r="D64" s="247"/>
      <c r="E64" s="247"/>
      <c r="F64" s="247"/>
      <c r="G64" s="244" t="s">
        <v>386</v>
      </c>
      <c r="H64" s="244"/>
      <c r="I64" s="145">
        <f>I62</f>
        <v>1435.21</v>
      </c>
    </row>
    <row r="65" spans="1:9" ht="15.75" customHeight="1">
      <c r="A65" s="247"/>
      <c r="B65" s="247"/>
      <c r="C65" s="247"/>
      <c r="D65" s="247"/>
      <c r="E65" s="247"/>
      <c r="F65" s="247"/>
      <c r="G65" s="245" t="s">
        <v>360</v>
      </c>
      <c r="H65" s="245"/>
      <c r="I65" s="146">
        <f>SUM(I63:I64)</f>
        <v>2880.76</v>
      </c>
    </row>
    <row r="66" spans="1:9" ht="27.75" customHeight="1">
      <c r="A66" s="236" t="s">
        <v>387</v>
      </c>
      <c r="B66" s="236"/>
      <c r="C66" s="236"/>
      <c r="D66" s="236"/>
      <c r="E66" s="236"/>
      <c r="F66" s="236"/>
      <c r="G66" s="236"/>
      <c r="H66" s="236"/>
      <c r="I66" s="236"/>
    </row>
    <row r="67" spans="1:9" ht="15.75" customHeight="1">
      <c r="A67" s="131">
        <v>3</v>
      </c>
      <c r="B67" s="236" t="s">
        <v>388</v>
      </c>
      <c r="C67" s="236"/>
      <c r="D67" s="236"/>
      <c r="E67" s="236"/>
      <c r="F67" s="236"/>
      <c r="G67" s="236"/>
      <c r="H67" s="133" t="s">
        <v>341</v>
      </c>
      <c r="I67" s="133" t="s">
        <v>342</v>
      </c>
    </row>
    <row r="68" spans="1:9" ht="15.75" customHeight="1">
      <c r="A68" s="131" t="s">
        <v>314</v>
      </c>
      <c r="B68" s="237" t="s">
        <v>389</v>
      </c>
      <c r="C68" s="237"/>
      <c r="D68" s="237"/>
      <c r="E68" s="237"/>
      <c r="F68" s="237"/>
      <c r="G68" s="237"/>
      <c r="H68" s="141">
        <f>ROUND(((1/12)*5%),4)</f>
        <v>4.1999999999999997E-3</v>
      </c>
      <c r="I68" s="143">
        <f>ROUND(H68*$I$65,2)</f>
        <v>12.1</v>
      </c>
    </row>
    <row r="69" spans="1:9" ht="15.75" customHeight="1">
      <c r="A69" s="131" t="s">
        <v>316</v>
      </c>
      <c r="B69" s="237" t="s">
        <v>390</v>
      </c>
      <c r="C69" s="237"/>
      <c r="D69" s="237"/>
      <c r="E69" s="237"/>
      <c r="F69" s="237"/>
      <c r="G69" s="237"/>
      <c r="H69" s="141">
        <f>TRUNC(H68*H47,4)</f>
        <v>2.9999999999999997E-4</v>
      </c>
      <c r="I69" s="143">
        <f>ROUND(H69*$I$65,2)</f>
        <v>0.86</v>
      </c>
    </row>
    <row r="70" spans="1:9" ht="15.75" customHeight="1">
      <c r="A70" s="131" t="s">
        <v>319</v>
      </c>
      <c r="B70" s="237" t="s">
        <v>391</v>
      </c>
      <c r="C70" s="237"/>
      <c r="D70" s="237"/>
      <c r="E70" s="237"/>
      <c r="F70" s="237"/>
      <c r="G70" s="237"/>
      <c r="H70" s="141">
        <f>ROUND(((7/30)/12)*95%,4)</f>
        <v>1.8499999999999999E-2</v>
      </c>
      <c r="I70" s="143">
        <f>ROUND(H70*$I$65,2)</f>
        <v>53.29</v>
      </c>
    </row>
    <row r="71" spans="1:9" ht="15.75" customHeight="1">
      <c r="A71" s="131" t="s">
        <v>321</v>
      </c>
      <c r="B71" s="248" t="s">
        <v>392</v>
      </c>
      <c r="C71" s="248"/>
      <c r="D71" s="248"/>
      <c r="E71" s="248"/>
      <c r="F71" s="248"/>
      <c r="G71" s="248"/>
      <c r="H71" s="141">
        <f>ROUND(H70*H48,4)</f>
        <v>7.4000000000000003E-3</v>
      </c>
      <c r="I71" s="143">
        <f>ROUND(H71*$I$65,2)</f>
        <v>21.32</v>
      </c>
    </row>
    <row r="72" spans="1:9" ht="15.75" customHeight="1">
      <c r="A72" s="131" t="s">
        <v>347</v>
      </c>
      <c r="B72" s="237" t="s">
        <v>393</v>
      </c>
      <c r="C72" s="237"/>
      <c r="D72" s="237"/>
      <c r="E72" s="237"/>
      <c r="F72" s="237"/>
      <c r="G72" s="237"/>
      <c r="H72" s="141">
        <v>0.04</v>
      </c>
      <c r="I72" s="143">
        <f>ROUND(H72*$I$65,2)</f>
        <v>115.23</v>
      </c>
    </row>
    <row r="73" spans="1:9" ht="15.75" customHeight="1">
      <c r="A73" s="236" t="s">
        <v>394</v>
      </c>
      <c r="B73" s="236"/>
      <c r="C73" s="236"/>
      <c r="D73" s="236"/>
      <c r="E73" s="236"/>
      <c r="F73" s="236"/>
      <c r="G73" s="236"/>
      <c r="H73" s="144">
        <f>SUM(H68:H72)</f>
        <v>7.0400000000000004E-2</v>
      </c>
      <c r="I73" s="142">
        <f>SUM(I68:I72)</f>
        <v>202.8</v>
      </c>
    </row>
    <row r="74" spans="1:9" ht="15.75" customHeight="1">
      <c r="A74" s="249" t="s">
        <v>395</v>
      </c>
      <c r="B74" s="249"/>
      <c r="C74" s="249"/>
      <c r="D74" s="249"/>
      <c r="E74" s="249"/>
      <c r="F74" s="249"/>
      <c r="G74" s="244" t="s">
        <v>358</v>
      </c>
      <c r="H74" s="244"/>
      <c r="I74" s="145">
        <f>I29</f>
        <v>1445.55</v>
      </c>
    </row>
    <row r="75" spans="1:9" ht="15.75" customHeight="1">
      <c r="A75" s="249"/>
      <c r="B75" s="249"/>
      <c r="C75" s="249"/>
      <c r="D75" s="249"/>
      <c r="E75" s="249"/>
      <c r="F75" s="249"/>
      <c r="G75" s="244" t="s">
        <v>386</v>
      </c>
      <c r="H75" s="244"/>
      <c r="I75" s="145">
        <f>I62</f>
        <v>1435.21</v>
      </c>
    </row>
    <row r="76" spans="1:9" ht="15.75" customHeight="1">
      <c r="A76" s="249"/>
      <c r="B76" s="249"/>
      <c r="C76" s="249"/>
      <c r="D76" s="249"/>
      <c r="E76" s="249"/>
      <c r="F76" s="249"/>
      <c r="G76" s="244" t="s">
        <v>396</v>
      </c>
      <c r="H76" s="244"/>
      <c r="I76" s="145">
        <f>I73</f>
        <v>202.8</v>
      </c>
    </row>
    <row r="77" spans="1:9" ht="15.75" customHeight="1">
      <c r="A77" s="249"/>
      <c r="B77" s="249"/>
      <c r="C77" s="249"/>
      <c r="D77" s="249"/>
      <c r="E77" s="249"/>
      <c r="F77" s="249"/>
      <c r="G77" s="245" t="s">
        <v>360</v>
      </c>
      <c r="H77" s="245"/>
      <c r="I77" s="146">
        <f>SUM(I74:I76)</f>
        <v>3083.5600000000004</v>
      </c>
    </row>
    <row r="78" spans="1:9" ht="15.75" customHeight="1">
      <c r="A78" s="236" t="s">
        <v>397</v>
      </c>
      <c r="B78" s="236"/>
      <c r="C78" s="236"/>
      <c r="D78" s="236"/>
      <c r="E78" s="236"/>
      <c r="F78" s="236"/>
      <c r="G78" s="236"/>
      <c r="H78" s="236"/>
      <c r="I78" s="236"/>
    </row>
    <row r="79" spans="1:9" ht="15.75" customHeight="1">
      <c r="A79" s="236" t="s">
        <v>398</v>
      </c>
      <c r="B79" s="236"/>
      <c r="C79" s="236"/>
      <c r="D79" s="236"/>
      <c r="E79" s="236"/>
      <c r="F79" s="236"/>
      <c r="G79" s="236"/>
      <c r="H79" s="133" t="s">
        <v>341</v>
      </c>
      <c r="I79" s="133" t="s">
        <v>342</v>
      </c>
    </row>
    <row r="80" spans="1:9" ht="15.75" customHeight="1">
      <c r="A80" s="131" t="s">
        <v>314</v>
      </c>
      <c r="B80" s="237" t="s">
        <v>399</v>
      </c>
      <c r="C80" s="237"/>
      <c r="D80" s="237"/>
      <c r="E80" s="237"/>
      <c r="F80" s="237"/>
      <c r="G80" s="237"/>
      <c r="H80" s="141">
        <f>ROUND(((1+1/3)/12)/12,4)</f>
        <v>9.2999999999999992E-3</v>
      </c>
      <c r="I80" s="143">
        <f t="shared" ref="I80:I85" si="1">ROUND(H80*$I$77,2)</f>
        <v>28.68</v>
      </c>
    </row>
    <row r="81" spans="1:9" ht="15.75" customHeight="1">
      <c r="A81" s="131" t="s">
        <v>316</v>
      </c>
      <c r="B81" s="237" t="s">
        <v>400</v>
      </c>
      <c r="C81" s="237"/>
      <c r="D81" s="237"/>
      <c r="E81" s="237"/>
      <c r="F81" s="237"/>
      <c r="G81" s="237"/>
      <c r="H81" s="141">
        <f>ROUND(2/30/12,4)</f>
        <v>5.5999999999999999E-3</v>
      </c>
      <c r="I81" s="143">
        <f t="shared" si="1"/>
        <v>17.27</v>
      </c>
    </row>
    <row r="82" spans="1:9" ht="15.75" customHeight="1">
      <c r="A82" s="131" t="s">
        <v>319</v>
      </c>
      <c r="B82" s="237" t="s">
        <v>401</v>
      </c>
      <c r="C82" s="237"/>
      <c r="D82" s="237"/>
      <c r="E82" s="237"/>
      <c r="F82" s="237"/>
      <c r="G82" s="237"/>
      <c r="H82" s="141">
        <f>ROUND(((5/30)/12)*2%,4)</f>
        <v>2.9999999999999997E-4</v>
      </c>
      <c r="I82" s="143">
        <f t="shared" si="1"/>
        <v>0.93</v>
      </c>
    </row>
    <row r="83" spans="1:9" ht="15.75" customHeight="1">
      <c r="A83" s="131" t="s">
        <v>321</v>
      </c>
      <c r="B83" s="237" t="s">
        <v>402</v>
      </c>
      <c r="C83" s="237"/>
      <c r="D83" s="237"/>
      <c r="E83" s="237"/>
      <c r="F83" s="237"/>
      <c r="G83" s="237"/>
      <c r="H83" s="141">
        <f>ROUND(((15/30)/12)*8%,4)</f>
        <v>3.3E-3</v>
      </c>
      <c r="I83" s="143">
        <f t="shared" si="1"/>
        <v>10.18</v>
      </c>
    </row>
    <row r="84" spans="1:9" ht="15.75" customHeight="1">
      <c r="A84" s="131" t="s">
        <v>347</v>
      </c>
      <c r="B84" s="237" t="s">
        <v>403</v>
      </c>
      <c r="C84" s="237"/>
      <c r="D84" s="237"/>
      <c r="E84" s="237"/>
      <c r="F84" s="237"/>
      <c r="G84" s="237"/>
      <c r="H84" s="141">
        <f>ROUND(((1+1/3)/12*4/12)*2%,4)</f>
        <v>6.9999999999999999E-4</v>
      </c>
      <c r="I84" s="143">
        <f t="shared" si="1"/>
        <v>2.16</v>
      </c>
    </row>
    <row r="85" spans="1:9" ht="15.75" customHeight="1">
      <c r="A85" s="131" t="s">
        <v>349</v>
      </c>
      <c r="B85" s="237" t="s">
        <v>404</v>
      </c>
      <c r="C85" s="237"/>
      <c r="D85" s="237"/>
      <c r="E85" s="237"/>
      <c r="F85" s="237"/>
      <c r="G85" s="237"/>
      <c r="H85" s="141">
        <v>0</v>
      </c>
      <c r="I85" s="143">
        <f t="shared" si="1"/>
        <v>0</v>
      </c>
    </row>
    <row r="86" spans="1:9" ht="15.75" customHeight="1">
      <c r="A86" s="236" t="s">
        <v>405</v>
      </c>
      <c r="B86" s="236"/>
      <c r="C86" s="236"/>
      <c r="D86" s="236"/>
      <c r="E86" s="236"/>
      <c r="F86" s="236"/>
      <c r="G86" s="236"/>
      <c r="H86" s="144">
        <f>SUM(H80:H85)</f>
        <v>1.9199999999999998E-2</v>
      </c>
      <c r="I86" s="142">
        <f>SUM(I80:I85)</f>
        <v>59.22</v>
      </c>
    </row>
    <row r="87" spans="1:9" ht="15.75" customHeight="1">
      <c r="A87" s="246"/>
      <c r="B87" s="246"/>
      <c r="C87" s="246"/>
      <c r="D87" s="246"/>
      <c r="E87" s="246"/>
      <c r="F87" s="246"/>
      <c r="G87" s="246"/>
      <c r="H87" s="246"/>
      <c r="I87" s="246"/>
    </row>
    <row r="88" spans="1:9" ht="15.75" customHeight="1">
      <c r="A88" s="236" t="s">
        <v>406</v>
      </c>
      <c r="B88" s="236"/>
      <c r="C88" s="236"/>
      <c r="D88" s="236"/>
      <c r="E88" s="236"/>
      <c r="F88" s="236"/>
      <c r="G88" s="236"/>
      <c r="H88" s="133" t="s">
        <v>341</v>
      </c>
      <c r="I88" s="133" t="s">
        <v>342</v>
      </c>
    </row>
    <row r="89" spans="1:9" ht="15.75" customHeight="1">
      <c r="A89" s="131" t="s">
        <v>314</v>
      </c>
      <c r="B89" s="237" t="s">
        <v>407</v>
      </c>
      <c r="C89" s="237"/>
      <c r="D89" s="237"/>
      <c r="E89" s="237"/>
      <c r="F89" s="237"/>
      <c r="G89" s="237"/>
      <c r="H89" s="141">
        <v>0</v>
      </c>
      <c r="I89" s="143">
        <f>I29*H89</f>
        <v>0</v>
      </c>
    </row>
    <row r="90" spans="1:9" ht="15.75" customHeight="1">
      <c r="A90" s="236" t="s">
        <v>408</v>
      </c>
      <c r="B90" s="236"/>
      <c r="C90" s="236"/>
      <c r="D90" s="236"/>
      <c r="E90" s="236"/>
      <c r="F90" s="236"/>
      <c r="G90" s="236"/>
      <c r="H90" s="144">
        <f>H89</f>
        <v>0</v>
      </c>
      <c r="I90" s="142">
        <f>I89</f>
        <v>0</v>
      </c>
    </row>
    <row r="91" spans="1:9" ht="15.75" customHeight="1">
      <c r="A91" s="246"/>
      <c r="B91" s="246"/>
      <c r="C91" s="246"/>
      <c r="D91" s="246"/>
      <c r="E91" s="246"/>
      <c r="F91" s="246"/>
      <c r="G91" s="246"/>
      <c r="H91" s="246"/>
      <c r="I91" s="246"/>
    </row>
    <row r="92" spans="1:9" ht="15.75" customHeight="1">
      <c r="A92" s="236" t="s">
        <v>409</v>
      </c>
      <c r="B92" s="236"/>
      <c r="C92" s="236"/>
      <c r="D92" s="236"/>
      <c r="E92" s="236"/>
      <c r="F92" s="236"/>
      <c r="G92" s="236"/>
      <c r="H92" s="236"/>
      <c r="I92" s="236"/>
    </row>
    <row r="93" spans="1:9" ht="15.75" customHeight="1">
      <c r="A93" s="236" t="s">
        <v>410</v>
      </c>
      <c r="B93" s="236"/>
      <c r="C93" s="236"/>
      <c r="D93" s="236"/>
      <c r="E93" s="236"/>
      <c r="F93" s="236"/>
      <c r="G93" s="236"/>
      <c r="H93" s="236"/>
      <c r="I93" s="133" t="s">
        <v>342</v>
      </c>
    </row>
    <row r="94" spans="1:9" ht="15.75" customHeight="1">
      <c r="A94" s="131" t="s">
        <v>411</v>
      </c>
      <c r="B94" s="237" t="s">
        <v>412</v>
      </c>
      <c r="C94" s="237"/>
      <c r="D94" s="237"/>
      <c r="E94" s="237"/>
      <c r="F94" s="237"/>
      <c r="G94" s="237"/>
      <c r="H94" s="237"/>
      <c r="I94" s="143">
        <f>I86</f>
        <v>59.22</v>
      </c>
    </row>
    <row r="95" spans="1:9" ht="15.75" customHeight="1">
      <c r="A95" s="131" t="s">
        <v>413</v>
      </c>
      <c r="B95" s="237" t="s">
        <v>414</v>
      </c>
      <c r="C95" s="237"/>
      <c r="D95" s="237"/>
      <c r="E95" s="237"/>
      <c r="F95" s="237"/>
      <c r="G95" s="237"/>
      <c r="H95" s="237"/>
      <c r="I95" s="143">
        <f>I90</f>
        <v>0</v>
      </c>
    </row>
    <row r="96" spans="1:9" ht="15.75" customHeight="1">
      <c r="A96" s="236" t="s">
        <v>415</v>
      </c>
      <c r="B96" s="236"/>
      <c r="C96" s="236"/>
      <c r="D96" s="236"/>
      <c r="E96" s="236"/>
      <c r="F96" s="236"/>
      <c r="G96" s="236"/>
      <c r="H96" s="236"/>
      <c r="I96" s="142">
        <f>SUM(I94:I95)</f>
        <v>59.22</v>
      </c>
    </row>
    <row r="97" spans="1:9" ht="15.75" customHeight="1">
      <c r="A97" s="246"/>
      <c r="B97" s="246"/>
      <c r="C97" s="246"/>
      <c r="D97" s="246"/>
      <c r="E97" s="246"/>
      <c r="F97" s="246"/>
      <c r="G97" s="246"/>
      <c r="H97" s="246"/>
      <c r="I97" s="246"/>
    </row>
    <row r="98" spans="1:9" ht="15.75" customHeight="1">
      <c r="A98" s="236" t="s">
        <v>416</v>
      </c>
      <c r="B98" s="236"/>
      <c r="C98" s="236"/>
      <c r="D98" s="236"/>
      <c r="E98" s="236"/>
      <c r="F98" s="236"/>
      <c r="G98" s="236"/>
      <c r="H98" s="236"/>
      <c r="I98" s="236"/>
    </row>
    <row r="99" spans="1:9" ht="15.75" customHeight="1">
      <c r="A99" s="133">
        <v>5</v>
      </c>
      <c r="B99" s="236" t="s">
        <v>417</v>
      </c>
      <c r="C99" s="236"/>
      <c r="D99" s="236"/>
      <c r="E99" s="236"/>
      <c r="F99" s="236"/>
      <c r="G99" s="236"/>
      <c r="H99" s="133"/>
      <c r="I99" s="133" t="s">
        <v>342</v>
      </c>
    </row>
    <row r="100" spans="1:9" ht="15.75" customHeight="1">
      <c r="A100" s="149" t="s">
        <v>314</v>
      </c>
      <c r="B100" s="242" t="s">
        <v>418</v>
      </c>
      <c r="C100" s="242"/>
      <c r="D100" s="242"/>
      <c r="E100" s="242"/>
      <c r="F100" s="242"/>
      <c r="G100" s="242"/>
      <c r="H100" s="150" t="s">
        <v>299</v>
      </c>
      <c r="I100" s="143">
        <f>MATERIAIS!F70</f>
        <v>1.1100000000000001</v>
      </c>
    </row>
    <row r="101" spans="1:9" ht="15.75" customHeight="1">
      <c r="A101" s="149" t="s">
        <v>316</v>
      </c>
      <c r="B101" s="242" t="s">
        <v>419</v>
      </c>
      <c r="C101" s="242"/>
      <c r="D101" s="242"/>
      <c r="E101" s="242"/>
      <c r="F101" s="242"/>
      <c r="G101" s="242"/>
      <c r="H101" s="150" t="s">
        <v>299</v>
      </c>
      <c r="I101" s="143">
        <f>EPIS!F8</f>
        <v>20.182857142857141</v>
      </c>
    </row>
    <row r="102" spans="1:9" ht="15.75" customHeight="1">
      <c r="A102" s="149" t="s">
        <v>319</v>
      </c>
      <c r="B102" s="242" t="s">
        <v>420</v>
      </c>
      <c r="C102" s="242"/>
      <c r="D102" s="242"/>
      <c r="E102" s="242"/>
      <c r="F102" s="242"/>
      <c r="G102" s="242"/>
      <c r="H102" s="150" t="s">
        <v>299</v>
      </c>
      <c r="I102" s="143">
        <f>UNIFORMES!G32</f>
        <v>22.91</v>
      </c>
    </row>
    <row r="103" spans="1:9" ht="15.75" customHeight="1">
      <c r="A103" s="149" t="s">
        <v>321</v>
      </c>
      <c r="B103" s="242" t="s">
        <v>421</v>
      </c>
      <c r="C103" s="242"/>
      <c r="D103" s="242"/>
      <c r="E103" s="242"/>
      <c r="F103" s="242"/>
      <c r="G103" s="242"/>
      <c r="H103" s="151" t="s">
        <v>299</v>
      </c>
      <c r="I103" s="143">
        <f>'FERRAMENTAS E EQUIPAMENTOS'!I48</f>
        <v>5.72</v>
      </c>
    </row>
    <row r="104" spans="1:9" ht="15.75" customHeight="1">
      <c r="A104" s="236" t="s">
        <v>422</v>
      </c>
      <c r="B104" s="236"/>
      <c r="C104" s="236"/>
      <c r="D104" s="236"/>
      <c r="E104" s="236"/>
      <c r="F104" s="236"/>
      <c r="G104" s="236"/>
      <c r="H104" s="144" t="s">
        <v>299</v>
      </c>
      <c r="I104" s="142">
        <f>SUM(I100:I103)</f>
        <v>49.92285714285714</v>
      </c>
    </row>
    <row r="105" spans="1:9" ht="15.75" customHeight="1">
      <c r="A105" s="249" t="s">
        <v>423</v>
      </c>
      <c r="B105" s="249"/>
      <c r="C105" s="249"/>
      <c r="D105" s="249"/>
      <c r="E105" s="249"/>
      <c r="F105" s="249"/>
      <c r="G105" s="244" t="s">
        <v>358</v>
      </c>
      <c r="H105" s="244"/>
      <c r="I105" s="145">
        <f>I29</f>
        <v>1445.55</v>
      </c>
    </row>
    <row r="106" spans="1:9" ht="15.75" customHeight="1">
      <c r="A106" s="249"/>
      <c r="B106" s="249"/>
      <c r="C106" s="249"/>
      <c r="D106" s="249"/>
      <c r="E106" s="249"/>
      <c r="F106" s="249"/>
      <c r="G106" s="244" t="s">
        <v>386</v>
      </c>
      <c r="H106" s="244"/>
      <c r="I106" s="145">
        <f>I62</f>
        <v>1435.21</v>
      </c>
    </row>
    <row r="107" spans="1:9" ht="15.75" customHeight="1">
      <c r="A107" s="249"/>
      <c r="B107" s="249"/>
      <c r="C107" s="249"/>
      <c r="D107" s="249"/>
      <c r="E107" s="249"/>
      <c r="F107" s="249"/>
      <c r="G107" s="244" t="s">
        <v>396</v>
      </c>
      <c r="H107" s="244"/>
      <c r="I107" s="145">
        <f>I73</f>
        <v>202.8</v>
      </c>
    </row>
    <row r="108" spans="1:9" ht="15.75" customHeight="1">
      <c r="A108" s="249"/>
      <c r="B108" s="249"/>
      <c r="C108" s="249"/>
      <c r="D108" s="249"/>
      <c r="E108" s="249"/>
      <c r="F108" s="249"/>
      <c r="G108" s="244" t="s">
        <v>424</v>
      </c>
      <c r="H108" s="244"/>
      <c r="I108" s="145">
        <f>I96</f>
        <v>59.22</v>
      </c>
    </row>
    <row r="109" spans="1:9" ht="15.75" customHeight="1">
      <c r="A109" s="249"/>
      <c r="B109" s="249"/>
      <c r="C109" s="249"/>
      <c r="D109" s="249"/>
      <c r="E109" s="249"/>
      <c r="F109" s="249"/>
      <c r="G109" s="244" t="s">
        <v>425</v>
      </c>
      <c r="H109" s="244"/>
      <c r="I109" s="145">
        <f>I104</f>
        <v>49.92285714285714</v>
      </c>
    </row>
    <row r="110" spans="1:9" ht="15.75" customHeight="1">
      <c r="A110" s="249"/>
      <c r="B110" s="249"/>
      <c r="C110" s="249"/>
      <c r="D110" s="249"/>
      <c r="E110" s="249"/>
      <c r="F110" s="249"/>
      <c r="G110" s="245" t="s">
        <v>360</v>
      </c>
      <c r="H110" s="245"/>
      <c r="I110" s="146">
        <f>SUM(I105:I109)</f>
        <v>3192.7028571428573</v>
      </c>
    </row>
    <row r="111" spans="1:9" ht="15.75" customHeight="1">
      <c r="A111" s="236" t="s">
        <v>426</v>
      </c>
      <c r="B111" s="236"/>
      <c r="C111" s="236"/>
      <c r="D111" s="236"/>
      <c r="E111" s="236"/>
      <c r="F111" s="236"/>
      <c r="G111" s="236"/>
      <c r="H111" s="236"/>
      <c r="I111" s="236"/>
    </row>
    <row r="112" spans="1:9" ht="15.75" customHeight="1">
      <c r="A112" s="133">
        <v>6</v>
      </c>
      <c r="B112" s="236" t="s">
        <v>427</v>
      </c>
      <c r="C112" s="236"/>
      <c r="D112" s="236"/>
      <c r="E112" s="236"/>
      <c r="F112" s="236"/>
      <c r="G112" s="236"/>
      <c r="H112" s="133" t="s">
        <v>341</v>
      </c>
      <c r="I112" s="133" t="s">
        <v>342</v>
      </c>
    </row>
    <row r="113" spans="1:9" ht="15.75" customHeight="1">
      <c r="A113" s="131" t="s">
        <v>314</v>
      </c>
      <c r="B113" s="237" t="s">
        <v>428</v>
      </c>
      <c r="C113" s="237"/>
      <c r="D113" s="237"/>
      <c r="E113" s="237"/>
      <c r="F113" s="237"/>
      <c r="G113" s="237"/>
      <c r="H113" s="152">
        <v>0.05</v>
      </c>
      <c r="I113" s="143">
        <f>ROUND(H113*I110,2)</f>
        <v>159.63999999999999</v>
      </c>
    </row>
    <row r="114" spans="1:9" ht="15.75" customHeight="1">
      <c r="A114" s="131" t="s">
        <v>316</v>
      </c>
      <c r="B114" s="237" t="s">
        <v>429</v>
      </c>
      <c r="C114" s="237"/>
      <c r="D114" s="237"/>
      <c r="E114" s="237"/>
      <c r="F114" s="237"/>
      <c r="G114" s="237"/>
      <c r="H114" s="152">
        <v>0.1</v>
      </c>
      <c r="I114" s="143">
        <f>ROUND(H114*(I110+I113),2)</f>
        <v>335.23</v>
      </c>
    </row>
    <row r="115" spans="1:9" ht="15.75" customHeight="1">
      <c r="A115" s="131" t="s">
        <v>319</v>
      </c>
      <c r="B115" s="250" t="s">
        <v>430</v>
      </c>
      <c r="C115" s="250"/>
      <c r="D115" s="250"/>
      <c r="E115" s="250"/>
      <c r="F115" s="250"/>
      <c r="G115" s="250"/>
      <c r="H115" s="141"/>
      <c r="I115" s="153"/>
    </row>
    <row r="116" spans="1:9" ht="15.75" customHeight="1">
      <c r="A116" s="131" t="s">
        <v>431</v>
      </c>
      <c r="B116" s="237" t="s">
        <v>432</v>
      </c>
      <c r="C116" s="237"/>
      <c r="D116" s="237"/>
      <c r="E116" s="237"/>
      <c r="F116" s="237"/>
      <c r="G116" s="237"/>
      <c r="H116" s="152">
        <v>1.6500000000000001E-2</v>
      </c>
      <c r="I116" s="143">
        <f>ROUND($I$126*H116,2)</f>
        <v>70.959999999999994</v>
      </c>
    </row>
    <row r="117" spans="1:9" ht="15.75" customHeight="1">
      <c r="A117" s="131" t="s">
        <v>433</v>
      </c>
      <c r="B117" s="237" t="s">
        <v>434</v>
      </c>
      <c r="C117" s="237"/>
      <c r="D117" s="237"/>
      <c r="E117" s="237"/>
      <c r="F117" s="237"/>
      <c r="G117" s="237"/>
      <c r="H117" s="154">
        <v>7.5999999999999998E-2</v>
      </c>
      <c r="I117" s="143">
        <f>ROUND($I$126*H117,2)</f>
        <v>326.83</v>
      </c>
    </row>
    <row r="118" spans="1:9" ht="15.75" customHeight="1">
      <c r="A118" s="131" t="s">
        <v>435</v>
      </c>
      <c r="B118" s="237" t="s">
        <v>436</v>
      </c>
      <c r="C118" s="237"/>
      <c r="D118" s="237"/>
      <c r="E118" s="237"/>
      <c r="F118" s="237"/>
      <c r="G118" s="237"/>
      <c r="H118" s="155">
        <v>0.05</v>
      </c>
      <c r="I118" s="143">
        <f>ROUND($I$126*H118,2)</f>
        <v>215.02</v>
      </c>
    </row>
    <row r="119" spans="1:9" ht="15.75" customHeight="1">
      <c r="A119" s="236" t="s">
        <v>437</v>
      </c>
      <c r="B119" s="236"/>
      <c r="C119" s="236"/>
      <c r="D119" s="236"/>
      <c r="E119" s="236"/>
      <c r="F119" s="236"/>
      <c r="G119" s="236"/>
      <c r="H119" s="156">
        <f>SUM(H113:H118)</f>
        <v>0.29250000000000004</v>
      </c>
      <c r="I119" s="142">
        <f>SUM(I113:I118)</f>
        <v>1107.68</v>
      </c>
    </row>
    <row r="120" spans="1:9" ht="9.9" customHeight="1">
      <c r="A120" s="181"/>
      <c r="B120" s="182"/>
      <c r="C120" s="182"/>
      <c r="D120" s="182"/>
      <c r="E120" s="182"/>
      <c r="F120" s="182"/>
      <c r="G120" s="182"/>
      <c r="H120" s="183"/>
      <c r="I120" s="184"/>
    </row>
    <row r="121" spans="1:9" ht="15.75" customHeight="1">
      <c r="A121" s="157" t="s">
        <v>438</v>
      </c>
      <c r="B121" s="251" t="s">
        <v>439</v>
      </c>
      <c r="C121" s="251"/>
      <c r="D121" s="251"/>
      <c r="E121" s="251"/>
      <c r="F121" s="251"/>
      <c r="G121" s="251"/>
      <c r="H121" s="159">
        <f>SUM(H116+H117+H118)</f>
        <v>0.14250000000000002</v>
      </c>
      <c r="I121" s="160"/>
    </row>
    <row r="122" spans="1:9" ht="15.75" customHeight="1">
      <c r="A122" s="157"/>
      <c r="B122" s="251">
        <v>100</v>
      </c>
      <c r="C122" s="251"/>
      <c r="D122" s="251"/>
      <c r="E122" s="251"/>
      <c r="F122" s="251"/>
      <c r="G122" s="251"/>
      <c r="H122" s="159"/>
      <c r="I122" s="160"/>
    </row>
    <row r="123" spans="1:9" ht="15.75" customHeight="1">
      <c r="A123" s="161"/>
      <c r="B123" s="162"/>
      <c r="C123" s="162"/>
      <c r="D123" s="162"/>
      <c r="E123" s="162"/>
      <c r="F123" s="162"/>
      <c r="G123" s="162"/>
      <c r="H123" s="162"/>
      <c r="I123" s="163"/>
    </row>
    <row r="124" spans="1:9" ht="15.75" customHeight="1">
      <c r="A124" s="157" t="s">
        <v>440</v>
      </c>
      <c r="B124" s="251" t="s">
        <v>441</v>
      </c>
      <c r="C124" s="251"/>
      <c r="D124" s="251"/>
      <c r="E124" s="251"/>
      <c r="F124" s="251"/>
      <c r="G124" s="251"/>
      <c r="H124" s="159"/>
      <c r="I124" s="160">
        <f>I110+I113+I114</f>
        <v>3687.5728571428572</v>
      </c>
    </row>
    <row r="125" spans="1:9" ht="15.75" customHeight="1">
      <c r="A125" s="164"/>
      <c r="B125" s="165"/>
      <c r="C125" s="165"/>
      <c r="D125" s="165"/>
      <c r="E125" s="165"/>
      <c r="F125" s="165"/>
      <c r="G125" s="165"/>
      <c r="H125" s="165"/>
      <c r="I125" s="166"/>
    </row>
    <row r="126" spans="1:9" ht="15.75" customHeight="1">
      <c r="A126" s="157" t="s">
        <v>442</v>
      </c>
      <c r="B126" s="251" t="s">
        <v>443</v>
      </c>
      <c r="C126" s="251"/>
      <c r="D126" s="251"/>
      <c r="E126" s="251"/>
      <c r="F126" s="251"/>
      <c r="G126" s="251"/>
      <c r="H126" s="159"/>
      <c r="I126" s="160">
        <f>ROUND(I124/(1-H121),2)</f>
        <v>4300.38</v>
      </c>
    </row>
    <row r="127" spans="1:9" ht="15.75" customHeight="1">
      <c r="A127" s="157"/>
      <c r="B127" s="158"/>
      <c r="C127" s="158"/>
      <c r="D127" s="158"/>
      <c r="E127" s="158"/>
      <c r="F127" s="158"/>
      <c r="G127" s="158"/>
      <c r="H127" s="159"/>
      <c r="I127" s="160"/>
    </row>
    <row r="128" spans="1:9" ht="15.75" customHeight="1">
      <c r="A128" s="157"/>
      <c r="B128" s="251" t="s">
        <v>444</v>
      </c>
      <c r="C128" s="251"/>
      <c r="D128" s="251"/>
      <c r="E128" s="251"/>
      <c r="F128" s="251"/>
      <c r="G128" s="251"/>
      <c r="H128" s="159"/>
      <c r="I128" s="160">
        <f>I126-I124</f>
        <v>612.80714285714294</v>
      </c>
    </row>
    <row r="129" spans="1:9" ht="12" customHeight="1">
      <c r="A129" s="157"/>
      <c r="B129" s="158"/>
      <c r="H129" s="159"/>
      <c r="I129" s="160"/>
    </row>
    <row r="130" spans="1:9" ht="15.75" customHeight="1">
      <c r="A130" s="236" t="s">
        <v>445</v>
      </c>
      <c r="B130" s="236"/>
      <c r="C130" s="236"/>
      <c r="D130" s="236"/>
      <c r="E130" s="236"/>
      <c r="F130" s="236"/>
      <c r="G130" s="236"/>
      <c r="H130" s="236"/>
      <c r="I130" s="236"/>
    </row>
    <row r="131" spans="1:9" ht="15.75" customHeight="1">
      <c r="A131" s="236" t="s">
        <v>446</v>
      </c>
      <c r="B131" s="236"/>
      <c r="C131" s="236"/>
      <c r="D131" s="236"/>
      <c r="E131" s="236"/>
      <c r="F131" s="236"/>
      <c r="G131" s="236"/>
      <c r="H131" s="236"/>
      <c r="I131" s="133" t="s">
        <v>342</v>
      </c>
    </row>
    <row r="132" spans="1:9" ht="15.75" customHeight="1">
      <c r="A132" s="132" t="s">
        <v>314</v>
      </c>
      <c r="B132" s="237" t="str">
        <f>A21</f>
        <v>MÓDULO 1 - COMPOSIÇÃO DA REMUNERAÇÃO</v>
      </c>
      <c r="C132" s="237"/>
      <c r="D132" s="237"/>
      <c r="E132" s="237"/>
      <c r="F132" s="237"/>
      <c r="G132" s="237"/>
      <c r="H132" s="237"/>
      <c r="I132" s="62">
        <f>I29</f>
        <v>1445.55</v>
      </c>
    </row>
    <row r="133" spans="1:9" ht="15.75" customHeight="1">
      <c r="A133" s="132" t="s">
        <v>316</v>
      </c>
      <c r="B133" s="237" t="str">
        <f>A31</f>
        <v>MÓDULO 2 – ENCARGOS E BENEFÍCIOS ANUAIS, MENSAIS E DIÁRIOS</v>
      </c>
      <c r="C133" s="237"/>
      <c r="D133" s="237"/>
      <c r="E133" s="237"/>
      <c r="F133" s="237"/>
      <c r="G133" s="237"/>
      <c r="H133" s="237"/>
      <c r="I133" s="62">
        <f>I62</f>
        <v>1435.21</v>
      </c>
    </row>
    <row r="134" spans="1:9" ht="15.75" customHeight="1">
      <c r="A134" s="132" t="s">
        <v>319</v>
      </c>
      <c r="B134" s="237" t="str">
        <f>A66</f>
        <v>MÓDULO 3 – PROVISÃO PARA RESCISÃO</v>
      </c>
      <c r="C134" s="237"/>
      <c r="D134" s="237"/>
      <c r="E134" s="237"/>
      <c r="F134" s="237"/>
      <c r="G134" s="237"/>
      <c r="H134" s="237"/>
      <c r="I134" s="62">
        <f>I73</f>
        <v>202.8</v>
      </c>
    </row>
    <row r="135" spans="1:9" ht="15.75" customHeight="1">
      <c r="A135" s="132" t="s">
        <v>321</v>
      </c>
      <c r="B135" s="237" t="str">
        <f>A78</f>
        <v>MÓDULO 4 – CUSTO DE REPOSIÇÃO DO PROFISSIONAL AUSENTE</v>
      </c>
      <c r="C135" s="237"/>
      <c r="D135" s="237"/>
      <c r="E135" s="237"/>
      <c r="F135" s="237"/>
      <c r="G135" s="237"/>
      <c r="H135" s="237"/>
      <c r="I135" s="62">
        <f>I96</f>
        <v>59.22</v>
      </c>
    </row>
    <row r="136" spans="1:9" ht="15.75" customHeight="1">
      <c r="A136" s="132" t="s">
        <v>347</v>
      </c>
      <c r="B136" s="237" t="str">
        <f>A98</f>
        <v>MÓDULO 5 – INSUMOS DIVERSOS</v>
      </c>
      <c r="C136" s="237"/>
      <c r="D136" s="237"/>
      <c r="E136" s="237"/>
      <c r="F136" s="237"/>
      <c r="G136" s="237"/>
      <c r="H136" s="237"/>
      <c r="I136" s="62">
        <f>I104</f>
        <v>49.92285714285714</v>
      </c>
    </row>
    <row r="137" spans="1:9" ht="15.75" customHeight="1">
      <c r="A137" s="236" t="s">
        <v>447</v>
      </c>
      <c r="B137" s="236"/>
      <c r="C137" s="236"/>
      <c r="D137" s="236"/>
      <c r="E137" s="236"/>
      <c r="F137" s="236"/>
      <c r="G137" s="236"/>
      <c r="H137" s="236"/>
      <c r="I137" s="142">
        <f>SUM(I132:I136)</f>
        <v>3192.7028571428573</v>
      </c>
    </row>
    <row r="138" spans="1:9" ht="15.75" customHeight="1">
      <c r="A138" s="132" t="s">
        <v>349</v>
      </c>
      <c r="B138" s="237" t="str">
        <f>A111</f>
        <v>MÓDULO 6 – CUSTOS INDIRETOS, TRIBUTOS E LUCRO</v>
      </c>
      <c r="C138" s="237"/>
      <c r="D138" s="237"/>
      <c r="E138" s="237"/>
      <c r="F138" s="237"/>
      <c r="G138" s="237"/>
      <c r="H138" s="237"/>
      <c r="I138" s="62">
        <f>I119</f>
        <v>1107.68</v>
      </c>
    </row>
    <row r="139" spans="1:9" ht="15.75" customHeight="1">
      <c r="A139" s="236" t="s">
        <v>448</v>
      </c>
      <c r="B139" s="236"/>
      <c r="C139" s="236"/>
      <c r="D139" s="236"/>
      <c r="E139" s="236"/>
      <c r="F139" s="236"/>
      <c r="G139" s="236"/>
      <c r="H139" s="236"/>
      <c r="I139" s="142">
        <f>SUM(I137:I138)</f>
        <v>4300.3828571428576</v>
      </c>
    </row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3">
    <mergeCell ref="B136:H136"/>
    <mergeCell ref="A137:H137"/>
    <mergeCell ref="B138:H138"/>
    <mergeCell ref="A139:H139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A105:F110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66:I66"/>
    <mergeCell ref="B67:G67"/>
    <mergeCell ref="B68:G68"/>
    <mergeCell ref="B69:G69"/>
    <mergeCell ref="B70:G70"/>
    <mergeCell ref="B71:G71"/>
    <mergeCell ref="B72:G72"/>
    <mergeCell ref="A73:G73"/>
    <mergeCell ref="A74:F77"/>
    <mergeCell ref="G74:H74"/>
    <mergeCell ref="G75:H75"/>
    <mergeCell ref="G76:H76"/>
    <mergeCell ref="G77:H77"/>
    <mergeCell ref="A58:H58"/>
    <mergeCell ref="B59:H59"/>
    <mergeCell ref="B60:H60"/>
    <mergeCell ref="B61:H61"/>
    <mergeCell ref="A62:H62"/>
    <mergeCell ref="A63:F65"/>
    <mergeCell ref="G63:H63"/>
    <mergeCell ref="G64:H64"/>
    <mergeCell ref="G65:H65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32:G32"/>
    <mergeCell ref="B33:G33"/>
    <mergeCell ref="B34:G34"/>
    <mergeCell ref="A35:G35"/>
    <mergeCell ref="A36:F38"/>
    <mergeCell ref="G36:H36"/>
    <mergeCell ref="G37:H37"/>
    <mergeCell ref="G38:H38"/>
    <mergeCell ref="A39:G39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5" firstPageNumber="0" orientation="portrait" horizontalDpi="300" verticalDpi="300" r:id="rId1"/>
  <rowBreaks count="1" manualBreakCount="1">
    <brk id="1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0"/>
  <sheetViews>
    <sheetView view="pageBreakPreview" topLeftCell="A56" zoomScale="80" zoomScaleNormal="100" zoomScalePageLayoutView="80" workbookViewId="0">
      <selection activeCell="E86" sqref="E86"/>
    </sheetView>
  </sheetViews>
  <sheetFormatPr defaultRowHeight="14.4"/>
  <cols>
    <col min="1" max="1" width="5.21875" customWidth="1"/>
    <col min="2" max="2" width="79" customWidth="1"/>
    <col min="3" max="3" width="14.5546875" customWidth="1"/>
    <col min="4" max="4" width="7.6640625" customWidth="1"/>
    <col min="5" max="5" width="10.109375" customWidth="1"/>
    <col min="6" max="6" width="13.109375" customWidth="1"/>
    <col min="7" max="1025" width="14.44140625" customWidth="1"/>
  </cols>
  <sheetData>
    <row r="1" spans="1:6" ht="15" customHeight="1">
      <c r="A1" s="257" t="s">
        <v>471</v>
      </c>
      <c r="B1" s="257"/>
      <c r="C1" s="257"/>
      <c r="D1" s="257"/>
      <c r="E1" s="257"/>
      <c r="F1" s="257"/>
    </row>
    <row r="2" spans="1:6">
      <c r="A2" s="257"/>
      <c r="B2" s="257"/>
      <c r="C2" s="257"/>
      <c r="D2" s="257"/>
      <c r="E2" s="257"/>
      <c r="F2" s="257"/>
    </row>
    <row r="3" spans="1:6" ht="28.8">
      <c r="A3" s="188" t="s">
        <v>1</v>
      </c>
      <c r="B3" s="187" t="s">
        <v>2</v>
      </c>
      <c r="C3" s="187" t="s">
        <v>472</v>
      </c>
      <c r="D3" s="188" t="s">
        <v>473</v>
      </c>
      <c r="E3" s="189" t="s">
        <v>474</v>
      </c>
      <c r="F3" s="190" t="s">
        <v>475</v>
      </c>
    </row>
    <row r="4" spans="1:6" ht="72">
      <c r="A4" s="191" t="s">
        <v>476</v>
      </c>
      <c r="B4" s="192" t="s">
        <v>477</v>
      </c>
      <c r="C4" s="42" t="s">
        <v>478</v>
      </c>
      <c r="D4" s="191">
        <v>12</v>
      </c>
      <c r="E4" s="193">
        <v>30.85</v>
      </c>
      <c r="F4" s="193">
        <f t="shared" ref="F4:F30" si="0">E4*D4</f>
        <v>370.20000000000005</v>
      </c>
    </row>
    <row r="5" spans="1:6" ht="28.8">
      <c r="A5" s="191" t="s">
        <v>479</v>
      </c>
      <c r="B5" s="192" t="s">
        <v>480</v>
      </c>
      <c r="C5" s="42" t="s">
        <v>478</v>
      </c>
      <c r="D5" s="191">
        <v>6</v>
      </c>
      <c r="E5" s="193">
        <v>87.78</v>
      </c>
      <c r="F5" s="193">
        <f t="shared" si="0"/>
        <v>526.68000000000006</v>
      </c>
    </row>
    <row r="6" spans="1:6">
      <c r="A6" s="191" t="s">
        <v>481</v>
      </c>
      <c r="B6" s="192" t="s">
        <v>482</v>
      </c>
      <c r="C6" s="42" t="s">
        <v>483</v>
      </c>
      <c r="D6" s="191">
        <v>10</v>
      </c>
      <c r="E6" s="193">
        <v>5.52</v>
      </c>
      <c r="F6" s="193">
        <f t="shared" si="0"/>
        <v>55.199999999999996</v>
      </c>
    </row>
    <row r="7" spans="1:6" ht="43.2">
      <c r="A7" s="191" t="s">
        <v>484</v>
      </c>
      <c r="B7" s="192" t="s">
        <v>485</v>
      </c>
      <c r="C7" s="42" t="s">
        <v>483</v>
      </c>
      <c r="D7" s="191">
        <v>30</v>
      </c>
      <c r="E7" s="193">
        <v>24.86</v>
      </c>
      <c r="F7" s="193">
        <f t="shared" si="0"/>
        <v>745.8</v>
      </c>
    </row>
    <row r="8" spans="1:6" ht="28.8">
      <c r="A8" s="191" t="s">
        <v>486</v>
      </c>
      <c r="B8" s="192" t="s">
        <v>487</v>
      </c>
      <c r="C8" s="42" t="s">
        <v>483</v>
      </c>
      <c r="D8" s="191">
        <v>50</v>
      </c>
      <c r="E8" s="193">
        <v>10.76</v>
      </c>
      <c r="F8" s="193">
        <f t="shared" si="0"/>
        <v>538</v>
      </c>
    </row>
    <row r="9" spans="1:6" ht="28.8">
      <c r="A9" s="191" t="s">
        <v>488</v>
      </c>
      <c r="B9" s="192" t="s">
        <v>489</v>
      </c>
      <c r="C9" s="42" t="s">
        <v>483</v>
      </c>
      <c r="D9" s="191">
        <v>200</v>
      </c>
      <c r="E9" s="193">
        <v>8.16</v>
      </c>
      <c r="F9" s="193">
        <f t="shared" si="0"/>
        <v>1632</v>
      </c>
    </row>
    <row r="10" spans="1:6" ht="43.2">
      <c r="A10" s="191" t="s">
        <v>490</v>
      </c>
      <c r="B10" s="192" t="s">
        <v>491</v>
      </c>
      <c r="C10" s="42" t="s">
        <v>483</v>
      </c>
      <c r="D10" s="191">
        <v>100</v>
      </c>
      <c r="E10" s="193">
        <v>10.07</v>
      </c>
      <c r="F10" s="193">
        <f t="shared" si="0"/>
        <v>1007</v>
      </c>
    </row>
    <row r="11" spans="1:6" ht="28.8">
      <c r="A11" s="191" t="s">
        <v>492</v>
      </c>
      <c r="B11" s="192" t="s">
        <v>493</v>
      </c>
      <c r="C11" s="42" t="s">
        <v>478</v>
      </c>
      <c r="D11" s="191">
        <v>4</v>
      </c>
      <c r="E11" s="193">
        <v>11.1</v>
      </c>
      <c r="F11" s="193">
        <f t="shared" si="0"/>
        <v>44.4</v>
      </c>
    </row>
    <row r="12" spans="1:6">
      <c r="A12" s="191" t="s">
        <v>494</v>
      </c>
      <c r="B12" s="192" t="s">
        <v>495</v>
      </c>
      <c r="C12" s="42" t="s">
        <v>483</v>
      </c>
      <c r="D12" s="191">
        <v>60</v>
      </c>
      <c r="E12" s="193">
        <v>3.8</v>
      </c>
      <c r="F12" s="193">
        <f t="shared" si="0"/>
        <v>228</v>
      </c>
    </row>
    <row r="13" spans="1:6">
      <c r="A13" s="191" t="s">
        <v>496</v>
      </c>
      <c r="B13" s="192" t="s">
        <v>497</v>
      </c>
      <c r="C13" s="42" t="s">
        <v>483</v>
      </c>
      <c r="D13" s="191">
        <v>10</v>
      </c>
      <c r="E13" s="193">
        <v>8.43</v>
      </c>
      <c r="F13" s="193">
        <f t="shared" si="0"/>
        <v>84.3</v>
      </c>
    </row>
    <row r="14" spans="1:6" ht="28.8">
      <c r="A14" s="191" t="s">
        <v>498</v>
      </c>
      <c r="B14" s="192" t="s">
        <v>499</v>
      </c>
      <c r="C14" s="42" t="s">
        <v>483</v>
      </c>
      <c r="D14" s="191">
        <v>100</v>
      </c>
      <c r="E14" s="193">
        <v>7.08</v>
      </c>
      <c r="F14" s="193">
        <f t="shared" si="0"/>
        <v>708</v>
      </c>
    </row>
    <row r="15" spans="1:6" ht="28.8">
      <c r="A15" s="191" t="s">
        <v>500</v>
      </c>
      <c r="B15" s="192" t="s">
        <v>501</v>
      </c>
      <c r="C15" s="42" t="s">
        <v>502</v>
      </c>
      <c r="D15" s="191">
        <v>2</v>
      </c>
      <c r="E15" s="193">
        <v>31.51</v>
      </c>
      <c r="F15" s="193">
        <f t="shared" si="0"/>
        <v>63.02</v>
      </c>
    </row>
    <row r="16" spans="1:6" ht="21" customHeight="1">
      <c r="A16" s="191" t="s">
        <v>503</v>
      </c>
      <c r="B16" s="192" t="s">
        <v>504</v>
      </c>
      <c r="C16" s="42" t="s">
        <v>483</v>
      </c>
      <c r="D16" s="191">
        <v>15</v>
      </c>
      <c r="E16" s="193">
        <v>18.059999999999999</v>
      </c>
      <c r="F16" s="193">
        <f t="shared" si="0"/>
        <v>270.89999999999998</v>
      </c>
    </row>
    <row r="17" spans="1:6" ht="28.8">
      <c r="A17" s="191" t="s">
        <v>505</v>
      </c>
      <c r="B17" s="192" t="s">
        <v>506</v>
      </c>
      <c r="C17" s="42" t="s">
        <v>507</v>
      </c>
      <c r="D17" s="191">
        <v>200</v>
      </c>
      <c r="E17" s="193">
        <v>23.62</v>
      </c>
      <c r="F17" s="193">
        <f t="shared" si="0"/>
        <v>4724</v>
      </c>
    </row>
    <row r="18" spans="1:6" ht="41.25" customHeight="1">
      <c r="A18" s="191" t="s">
        <v>508</v>
      </c>
      <c r="B18" s="192" t="s">
        <v>509</v>
      </c>
      <c r="C18" s="42" t="s">
        <v>510</v>
      </c>
      <c r="D18" s="191">
        <v>30</v>
      </c>
      <c r="E18" s="193">
        <v>202.72</v>
      </c>
      <c r="F18" s="193">
        <f t="shared" si="0"/>
        <v>6081.6</v>
      </c>
    </row>
    <row r="19" spans="1:6" ht="39" customHeight="1">
      <c r="A19" s="191" t="s">
        <v>511</v>
      </c>
      <c r="B19" s="192" t="s">
        <v>512</v>
      </c>
      <c r="C19" s="42" t="s">
        <v>513</v>
      </c>
      <c r="D19" s="191">
        <v>8</v>
      </c>
      <c r="E19" s="193">
        <v>34.880000000000003</v>
      </c>
      <c r="F19" s="193">
        <f t="shared" si="0"/>
        <v>279.04000000000002</v>
      </c>
    </row>
    <row r="20" spans="1:6" ht="18" customHeight="1">
      <c r="A20" s="191" t="s">
        <v>514</v>
      </c>
      <c r="B20" s="192" t="s">
        <v>515</v>
      </c>
      <c r="C20" s="42" t="s">
        <v>516</v>
      </c>
      <c r="D20" s="191">
        <v>60</v>
      </c>
      <c r="E20" s="193">
        <v>9.44</v>
      </c>
      <c r="F20" s="193">
        <f t="shared" si="0"/>
        <v>566.4</v>
      </c>
    </row>
    <row r="21" spans="1:6" ht="28.8">
      <c r="A21" s="191" t="s">
        <v>517</v>
      </c>
      <c r="B21" s="192" t="s">
        <v>518</v>
      </c>
      <c r="C21" s="42" t="s">
        <v>519</v>
      </c>
      <c r="D21" s="191">
        <v>4</v>
      </c>
      <c r="E21" s="193">
        <v>16.47</v>
      </c>
      <c r="F21" s="193">
        <f t="shared" si="0"/>
        <v>65.88</v>
      </c>
    </row>
    <row r="22" spans="1:6" ht="28.8">
      <c r="A22" s="191" t="s">
        <v>520</v>
      </c>
      <c r="B22" s="192" t="s">
        <v>521</v>
      </c>
      <c r="C22" s="42" t="s">
        <v>522</v>
      </c>
      <c r="D22" s="191">
        <v>30</v>
      </c>
      <c r="E22" s="193">
        <v>40.06</v>
      </c>
      <c r="F22" s="193">
        <f t="shared" si="0"/>
        <v>1201.8000000000002</v>
      </c>
    </row>
    <row r="23" spans="1:6" ht="28.8">
      <c r="A23" s="191" t="s">
        <v>523</v>
      </c>
      <c r="B23" s="192" t="s">
        <v>524</v>
      </c>
      <c r="C23" s="42" t="s">
        <v>522</v>
      </c>
      <c r="D23" s="191">
        <v>15</v>
      </c>
      <c r="E23" s="193">
        <v>43.43</v>
      </c>
      <c r="F23" s="193">
        <f t="shared" si="0"/>
        <v>651.45000000000005</v>
      </c>
    </row>
    <row r="24" spans="1:6" ht="28.8">
      <c r="A24" s="191" t="s">
        <v>525</v>
      </c>
      <c r="B24" s="192" t="s">
        <v>526</v>
      </c>
      <c r="C24" s="42" t="s">
        <v>522</v>
      </c>
      <c r="D24" s="191">
        <v>30</v>
      </c>
      <c r="E24" s="193">
        <v>56.48</v>
      </c>
      <c r="F24" s="193">
        <f t="shared" si="0"/>
        <v>1694.3999999999999</v>
      </c>
    </row>
    <row r="25" spans="1:6" ht="28.8">
      <c r="A25" s="191" t="s">
        <v>527</v>
      </c>
      <c r="B25" s="192" t="s">
        <v>528</v>
      </c>
      <c r="C25" s="42" t="s">
        <v>478</v>
      </c>
      <c r="D25" s="191">
        <v>2</v>
      </c>
      <c r="E25" s="193">
        <v>14.21</v>
      </c>
      <c r="F25" s="193">
        <f t="shared" si="0"/>
        <v>28.42</v>
      </c>
    </row>
    <row r="26" spans="1:6" ht="28.8">
      <c r="A26" s="191" t="s">
        <v>529</v>
      </c>
      <c r="B26" s="192" t="s">
        <v>530</v>
      </c>
      <c r="C26" s="42" t="s">
        <v>531</v>
      </c>
      <c r="D26" s="191">
        <v>2</v>
      </c>
      <c r="E26" s="193">
        <v>40.46</v>
      </c>
      <c r="F26" s="193">
        <f t="shared" si="0"/>
        <v>80.92</v>
      </c>
    </row>
    <row r="27" spans="1:6" ht="28.8">
      <c r="A27" s="191" t="s">
        <v>532</v>
      </c>
      <c r="B27" s="192" t="s">
        <v>533</v>
      </c>
      <c r="C27" s="42" t="s">
        <v>534</v>
      </c>
      <c r="D27" s="191">
        <v>6</v>
      </c>
      <c r="E27" s="193">
        <v>58.2</v>
      </c>
      <c r="F27" s="193">
        <f t="shared" si="0"/>
        <v>349.20000000000005</v>
      </c>
    </row>
    <row r="28" spans="1:6" ht="17.25" customHeight="1">
      <c r="A28" s="191" t="s">
        <v>535</v>
      </c>
      <c r="B28" s="192" t="s">
        <v>536</v>
      </c>
      <c r="C28" s="42" t="s">
        <v>483</v>
      </c>
      <c r="D28" s="191">
        <v>1</v>
      </c>
      <c r="E28" s="193">
        <v>47.27</v>
      </c>
      <c r="F28" s="193">
        <f t="shared" si="0"/>
        <v>47.27</v>
      </c>
    </row>
    <row r="29" spans="1:6" ht="17.25" customHeight="1">
      <c r="A29" s="191" t="s">
        <v>537</v>
      </c>
      <c r="B29" s="192" t="s">
        <v>538</v>
      </c>
      <c r="C29" s="42" t="s">
        <v>483</v>
      </c>
      <c r="D29" s="191">
        <v>3</v>
      </c>
      <c r="E29" s="193">
        <v>21.91</v>
      </c>
      <c r="F29" s="193">
        <f t="shared" si="0"/>
        <v>65.73</v>
      </c>
    </row>
    <row r="30" spans="1:6">
      <c r="A30" s="191">
        <v>28</v>
      </c>
      <c r="B30" s="192" t="s">
        <v>539</v>
      </c>
      <c r="C30" s="42" t="s">
        <v>483</v>
      </c>
      <c r="D30" s="191">
        <v>12</v>
      </c>
      <c r="E30" s="193">
        <v>28.12</v>
      </c>
      <c r="F30" s="193">
        <f t="shared" si="0"/>
        <v>337.44</v>
      </c>
    </row>
    <row r="31" spans="1:6">
      <c r="A31" s="258" t="s">
        <v>475</v>
      </c>
      <c r="B31" s="258"/>
      <c r="C31" s="258"/>
      <c r="D31" s="258"/>
      <c r="E31" s="258"/>
      <c r="F31" s="194">
        <f>SUM(F4:F30)</f>
        <v>22447.05</v>
      </c>
    </row>
    <row r="32" spans="1:6">
      <c r="A32" s="258" t="s">
        <v>540</v>
      </c>
      <c r="B32" s="258"/>
      <c r="C32" s="258"/>
      <c r="D32" s="258"/>
      <c r="E32" s="258"/>
      <c r="F32" s="188">
        <v>31</v>
      </c>
    </row>
    <row r="33" spans="1:6">
      <c r="A33" s="258" t="s">
        <v>541</v>
      </c>
      <c r="B33" s="258"/>
      <c r="C33" s="258"/>
      <c r="D33" s="258"/>
      <c r="E33" s="258"/>
      <c r="F33" s="194">
        <f>ROUND(F31/F32,2)</f>
        <v>724.1</v>
      </c>
    </row>
    <row r="34" spans="1:6">
      <c r="B34" s="195"/>
      <c r="E34" s="196"/>
      <c r="F34" s="196"/>
    </row>
    <row r="35" spans="1:6" ht="15" customHeight="1">
      <c r="A35" s="257" t="s">
        <v>542</v>
      </c>
      <c r="B35" s="257"/>
      <c r="C35" s="257"/>
      <c r="D35" s="257"/>
      <c r="E35" s="257"/>
      <c r="F35" s="257"/>
    </row>
    <row r="36" spans="1:6">
      <c r="A36" s="257"/>
      <c r="B36" s="257"/>
      <c r="C36" s="257"/>
      <c r="D36" s="257"/>
      <c r="E36" s="257"/>
      <c r="F36" s="257"/>
    </row>
    <row r="37" spans="1:6" s="197" customFormat="1">
      <c r="A37" s="259" t="s">
        <v>543</v>
      </c>
      <c r="B37" s="259"/>
      <c r="C37" s="259"/>
      <c r="D37" s="259"/>
      <c r="E37" s="259"/>
      <c r="F37" s="259"/>
    </row>
    <row r="38" spans="1:6" ht="28.8">
      <c r="A38" s="188" t="s">
        <v>1</v>
      </c>
      <c r="B38" s="187" t="s">
        <v>2</v>
      </c>
      <c r="C38" s="187" t="s">
        <v>472</v>
      </c>
      <c r="D38" s="188" t="s">
        <v>473</v>
      </c>
      <c r="E38" s="189" t="s">
        <v>474</v>
      </c>
      <c r="F38" s="190" t="s">
        <v>475</v>
      </c>
    </row>
    <row r="39" spans="1:6">
      <c r="A39" s="191" t="s">
        <v>476</v>
      </c>
      <c r="B39" s="192" t="s">
        <v>544</v>
      </c>
      <c r="C39" s="42" t="s">
        <v>483</v>
      </c>
      <c r="D39" s="191">
        <v>12</v>
      </c>
      <c r="E39" s="193">
        <v>66.02</v>
      </c>
      <c r="F39" s="193">
        <f t="shared" ref="F39:F57" si="1">E39*D39</f>
        <v>792.24</v>
      </c>
    </row>
    <row r="40" spans="1:6">
      <c r="A40" s="191" t="s">
        <v>479</v>
      </c>
      <c r="B40" s="192" t="s">
        <v>545</v>
      </c>
      <c r="C40" s="42" t="s">
        <v>483</v>
      </c>
      <c r="D40" s="191">
        <v>12</v>
      </c>
      <c r="E40" s="193">
        <v>51.06</v>
      </c>
      <c r="F40" s="193">
        <f t="shared" si="1"/>
        <v>612.72</v>
      </c>
    </row>
    <row r="41" spans="1:6">
      <c r="A41" s="191" t="s">
        <v>481</v>
      </c>
      <c r="B41" s="192" t="s">
        <v>546</v>
      </c>
      <c r="C41" s="42" t="s">
        <v>483</v>
      </c>
      <c r="D41" s="191">
        <v>3</v>
      </c>
      <c r="E41" s="193">
        <v>162.57</v>
      </c>
      <c r="F41" s="193">
        <f t="shared" si="1"/>
        <v>487.71</v>
      </c>
    </row>
    <row r="42" spans="1:6">
      <c r="A42" s="191" t="s">
        <v>484</v>
      </c>
      <c r="B42" s="192" t="s">
        <v>547</v>
      </c>
      <c r="C42" s="42" t="s">
        <v>483</v>
      </c>
      <c r="D42" s="191">
        <v>3</v>
      </c>
      <c r="E42" s="193">
        <v>116.67</v>
      </c>
      <c r="F42" s="193">
        <f t="shared" si="1"/>
        <v>350.01</v>
      </c>
    </row>
    <row r="43" spans="1:6">
      <c r="A43" s="191" t="s">
        <v>486</v>
      </c>
      <c r="B43" s="192" t="s">
        <v>548</v>
      </c>
      <c r="C43" s="42" t="s">
        <v>483</v>
      </c>
      <c r="D43" s="191">
        <v>3</v>
      </c>
      <c r="E43" s="193">
        <v>4.54</v>
      </c>
      <c r="F43" s="193">
        <f t="shared" si="1"/>
        <v>13.620000000000001</v>
      </c>
    </row>
    <row r="44" spans="1:6">
      <c r="A44" s="191" t="s">
        <v>488</v>
      </c>
      <c r="B44" s="192" t="s">
        <v>549</v>
      </c>
      <c r="C44" s="42" t="s">
        <v>483</v>
      </c>
      <c r="D44" s="191">
        <v>3</v>
      </c>
      <c r="E44" s="193">
        <v>4.57</v>
      </c>
      <c r="F44" s="193">
        <f t="shared" si="1"/>
        <v>13.71</v>
      </c>
    </row>
    <row r="45" spans="1:6" ht="28.8">
      <c r="A45" s="191" t="s">
        <v>490</v>
      </c>
      <c r="B45" s="192" t="s">
        <v>550</v>
      </c>
      <c r="C45" s="42" t="s">
        <v>483</v>
      </c>
      <c r="D45" s="191">
        <v>3</v>
      </c>
      <c r="E45" s="193">
        <v>59.67</v>
      </c>
      <c r="F45" s="193">
        <f t="shared" si="1"/>
        <v>179.01</v>
      </c>
    </row>
    <row r="46" spans="1:6">
      <c r="A46" s="191" t="s">
        <v>492</v>
      </c>
      <c r="B46" s="192" t="s">
        <v>551</v>
      </c>
      <c r="C46" s="42" t="s">
        <v>483</v>
      </c>
      <c r="D46" s="191">
        <v>3</v>
      </c>
      <c r="E46" s="193">
        <v>11.69</v>
      </c>
      <c r="F46" s="193">
        <f t="shared" si="1"/>
        <v>35.07</v>
      </c>
    </row>
    <row r="47" spans="1:6">
      <c r="A47" s="191" t="s">
        <v>494</v>
      </c>
      <c r="B47" s="192" t="s">
        <v>552</v>
      </c>
      <c r="C47" s="42" t="s">
        <v>483</v>
      </c>
      <c r="D47" s="191">
        <v>18</v>
      </c>
      <c r="E47" s="193">
        <v>11.45</v>
      </c>
      <c r="F47" s="193">
        <f t="shared" si="1"/>
        <v>206.1</v>
      </c>
    </row>
    <row r="48" spans="1:6">
      <c r="A48" s="191" t="s">
        <v>496</v>
      </c>
      <c r="B48" s="192" t="s">
        <v>553</v>
      </c>
      <c r="C48" s="42" t="s">
        <v>483</v>
      </c>
      <c r="D48" s="191">
        <v>12</v>
      </c>
      <c r="E48" s="193">
        <v>29.2</v>
      </c>
      <c r="F48" s="193">
        <f t="shared" si="1"/>
        <v>350.4</v>
      </c>
    </row>
    <row r="49" spans="1:6" ht="28.8">
      <c r="A49" s="191" t="s">
        <v>498</v>
      </c>
      <c r="B49" s="192" t="s">
        <v>554</v>
      </c>
      <c r="C49" s="42" t="s">
        <v>483</v>
      </c>
      <c r="D49" s="191">
        <v>2</v>
      </c>
      <c r="E49" s="193">
        <v>21.69</v>
      </c>
      <c r="F49" s="193">
        <f t="shared" si="1"/>
        <v>43.38</v>
      </c>
    </row>
    <row r="50" spans="1:6">
      <c r="A50" s="191" t="s">
        <v>500</v>
      </c>
      <c r="B50" s="192" t="s">
        <v>555</v>
      </c>
      <c r="C50" s="42" t="s">
        <v>483</v>
      </c>
      <c r="D50" s="191">
        <v>18</v>
      </c>
      <c r="E50" s="193">
        <v>27.5</v>
      </c>
      <c r="F50" s="193">
        <f t="shared" si="1"/>
        <v>495</v>
      </c>
    </row>
    <row r="51" spans="1:6">
      <c r="A51" s="191" t="s">
        <v>503</v>
      </c>
      <c r="B51" s="192" t="s">
        <v>556</v>
      </c>
      <c r="C51" s="42" t="s">
        <v>483</v>
      </c>
      <c r="D51" s="191">
        <v>18</v>
      </c>
      <c r="E51" s="193">
        <v>11.61</v>
      </c>
      <c r="F51" s="193">
        <f t="shared" si="1"/>
        <v>208.98</v>
      </c>
    </row>
    <row r="52" spans="1:6" ht="28.8">
      <c r="A52" s="191" t="s">
        <v>505</v>
      </c>
      <c r="B52" s="192" t="s">
        <v>557</v>
      </c>
      <c r="C52" s="42" t="s">
        <v>483</v>
      </c>
      <c r="D52" s="42">
        <v>48</v>
      </c>
      <c r="E52" s="198">
        <v>8.86</v>
      </c>
      <c r="F52" s="193">
        <f t="shared" si="1"/>
        <v>425.28</v>
      </c>
    </row>
    <row r="53" spans="1:6">
      <c r="A53" s="191" t="s">
        <v>508</v>
      </c>
      <c r="B53" s="192" t="s">
        <v>558</v>
      </c>
      <c r="C53" s="42" t="s">
        <v>483</v>
      </c>
      <c r="D53" s="191">
        <v>12</v>
      </c>
      <c r="E53" s="193">
        <v>8.35</v>
      </c>
      <c r="F53" s="193">
        <f t="shared" si="1"/>
        <v>100.19999999999999</v>
      </c>
    </row>
    <row r="54" spans="1:6">
      <c r="A54" s="191" t="s">
        <v>511</v>
      </c>
      <c r="B54" s="192" t="s">
        <v>559</v>
      </c>
      <c r="C54" s="42" t="s">
        <v>483</v>
      </c>
      <c r="D54" s="191">
        <v>24</v>
      </c>
      <c r="E54" s="193">
        <v>5.93</v>
      </c>
      <c r="F54" s="193">
        <f t="shared" si="1"/>
        <v>142.32</v>
      </c>
    </row>
    <row r="55" spans="1:6" ht="28.8">
      <c r="A55" s="191" t="s">
        <v>514</v>
      </c>
      <c r="B55" s="192" t="s">
        <v>560</v>
      </c>
      <c r="C55" s="42" t="s">
        <v>483</v>
      </c>
      <c r="D55" s="191">
        <v>48</v>
      </c>
      <c r="E55" s="193">
        <v>20.21</v>
      </c>
      <c r="F55" s="193">
        <f t="shared" si="1"/>
        <v>970.08</v>
      </c>
    </row>
    <row r="56" spans="1:6">
      <c r="A56" s="191" t="s">
        <v>517</v>
      </c>
      <c r="B56" s="192" t="s">
        <v>561</v>
      </c>
      <c r="C56" s="42" t="s">
        <v>562</v>
      </c>
      <c r="D56" s="191">
        <v>48</v>
      </c>
      <c r="E56" s="193">
        <v>34.090000000000003</v>
      </c>
      <c r="F56" s="193">
        <f t="shared" si="1"/>
        <v>1636.3200000000002</v>
      </c>
    </row>
    <row r="57" spans="1:6" ht="28.8">
      <c r="A57" s="191" t="s">
        <v>520</v>
      </c>
      <c r="B57" s="192" t="s">
        <v>563</v>
      </c>
      <c r="C57" s="42" t="s">
        <v>483</v>
      </c>
      <c r="D57" s="191">
        <v>3</v>
      </c>
      <c r="E57" s="193">
        <v>50.59</v>
      </c>
      <c r="F57" s="193">
        <f t="shared" si="1"/>
        <v>151.77000000000001</v>
      </c>
    </row>
    <row r="58" spans="1:6">
      <c r="A58" s="258" t="s">
        <v>475</v>
      </c>
      <c r="B58" s="258"/>
      <c r="C58" s="258"/>
      <c r="D58" s="258"/>
      <c r="E58" s="258"/>
      <c r="F58" s="194">
        <f>SUM(F39:F57)</f>
        <v>7213.92</v>
      </c>
    </row>
    <row r="59" spans="1:6">
      <c r="A59" s="258" t="s">
        <v>540</v>
      </c>
      <c r="B59" s="258"/>
      <c r="C59" s="258"/>
      <c r="D59" s="258"/>
      <c r="E59" s="258"/>
      <c r="F59" s="188">
        <v>31</v>
      </c>
    </row>
    <row r="60" spans="1:6">
      <c r="A60" s="258" t="s">
        <v>541</v>
      </c>
      <c r="B60" s="258"/>
      <c r="C60" s="258"/>
      <c r="D60" s="258"/>
      <c r="E60" s="258"/>
      <c r="F60" s="194">
        <f>ROUND((F58/F59)/12,2)</f>
        <v>19.39</v>
      </c>
    </row>
    <row r="61" spans="1:6">
      <c r="A61" s="260"/>
      <c r="B61" s="260"/>
      <c r="C61" s="260"/>
      <c r="D61" s="260"/>
      <c r="E61" s="260"/>
      <c r="F61" s="260"/>
    </row>
    <row r="62" spans="1:6">
      <c r="A62" s="259" t="s">
        <v>564</v>
      </c>
      <c r="B62" s="259"/>
      <c r="C62" s="259"/>
      <c r="D62" s="259"/>
      <c r="E62" s="259"/>
      <c r="F62" s="259"/>
    </row>
    <row r="63" spans="1:6" ht="28.8">
      <c r="A63" s="188" t="s">
        <v>1</v>
      </c>
      <c r="B63" s="187" t="s">
        <v>2</v>
      </c>
      <c r="C63" s="187" t="s">
        <v>472</v>
      </c>
      <c r="D63" s="188" t="s">
        <v>473</v>
      </c>
      <c r="E63" s="189" t="s">
        <v>474</v>
      </c>
      <c r="F63" s="190" t="s">
        <v>475</v>
      </c>
    </row>
    <row r="64" spans="1:6">
      <c r="A64" s="191">
        <v>1</v>
      </c>
      <c r="B64" s="192" t="s">
        <v>565</v>
      </c>
      <c r="C64" s="42" t="s">
        <v>483</v>
      </c>
      <c r="D64" s="191">
        <v>5</v>
      </c>
      <c r="E64" s="193">
        <v>18.61</v>
      </c>
      <c r="F64" s="193">
        <f>E64*D64</f>
        <v>93.05</v>
      </c>
    </row>
    <row r="65" spans="1:6">
      <c r="A65" s="258" t="s">
        <v>475</v>
      </c>
      <c r="B65" s="258"/>
      <c r="C65" s="258"/>
      <c r="D65" s="258"/>
      <c r="E65" s="258"/>
      <c r="F65" s="194">
        <f>SUM(F64:F64)</f>
        <v>93.05</v>
      </c>
    </row>
    <row r="66" spans="1:6">
      <c r="A66" s="258" t="s">
        <v>540</v>
      </c>
      <c r="B66" s="258"/>
      <c r="C66" s="258"/>
      <c r="D66" s="258"/>
      <c r="E66" s="258"/>
      <c r="F66" s="188">
        <v>7</v>
      </c>
    </row>
    <row r="67" spans="1:6">
      <c r="A67" s="258" t="s">
        <v>541</v>
      </c>
      <c r="B67" s="258"/>
      <c r="C67" s="258"/>
      <c r="D67" s="258"/>
      <c r="E67" s="258"/>
      <c r="F67" s="194">
        <f>ROUND((F65/F66)/12,2)</f>
        <v>1.1100000000000001</v>
      </c>
    </row>
    <row r="68" spans="1:6">
      <c r="A68" s="199"/>
      <c r="B68" s="200"/>
      <c r="C68" s="199"/>
      <c r="D68" s="199"/>
      <c r="E68" s="201"/>
      <c r="F68" s="201"/>
    </row>
    <row r="69" spans="1:6">
      <c r="A69" s="258" t="s">
        <v>566</v>
      </c>
      <c r="B69" s="258"/>
      <c r="C69" s="258"/>
      <c r="D69" s="258"/>
      <c r="E69" s="258"/>
      <c r="F69" s="194">
        <f>F33+F60</f>
        <v>743.49</v>
      </c>
    </row>
    <row r="70" spans="1:6">
      <c r="A70" s="258" t="s">
        <v>567</v>
      </c>
      <c r="B70" s="258"/>
      <c r="C70" s="258"/>
      <c r="D70" s="258"/>
      <c r="E70" s="258"/>
      <c r="F70" s="194">
        <f>F67</f>
        <v>1.1100000000000001</v>
      </c>
    </row>
  </sheetData>
  <mergeCells count="16">
    <mergeCell ref="A70:E70"/>
    <mergeCell ref="A62:F62"/>
    <mergeCell ref="A65:E65"/>
    <mergeCell ref="A66:E66"/>
    <mergeCell ref="A67:E67"/>
    <mergeCell ref="A69:E69"/>
    <mergeCell ref="A37:F37"/>
    <mergeCell ref="A58:E58"/>
    <mergeCell ref="A59:E59"/>
    <mergeCell ref="A60:E60"/>
    <mergeCell ref="A61:F61"/>
    <mergeCell ref="A1:F2"/>
    <mergeCell ref="A31:E31"/>
    <mergeCell ref="A32:E32"/>
    <mergeCell ref="A33:E33"/>
    <mergeCell ref="A35:F36"/>
  </mergeCells>
  <pageMargins left="0.75" right="0.75" top="1" bottom="1" header="0.51180555555555496" footer="0.51180555555555496"/>
  <pageSetup paperSize="9" scale="90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9"/>
  <sheetViews>
    <sheetView view="pageBreakPreview" topLeftCell="A38" zoomScale="80" zoomScaleNormal="100" zoomScalePageLayoutView="80" workbookViewId="0">
      <selection activeCell="E65" sqref="E65"/>
    </sheetView>
  </sheetViews>
  <sheetFormatPr defaultRowHeight="14.4"/>
  <cols>
    <col min="1" max="1" width="6" customWidth="1"/>
    <col min="2" max="2" width="39.6640625" customWidth="1"/>
    <col min="3" max="3" width="9.88671875" customWidth="1"/>
    <col min="4" max="4" width="8.6640625" customWidth="1"/>
    <col min="5" max="5" width="12.5546875" customWidth="1"/>
    <col min="6" max="6" width="12.33203125" customWidth="1"/>
    <col min="7" max="7" width="8" customWidth="1"/>
    <col min="8" max="8" width="12.6640625" customWidth="1"/>
    <col min="9" max="9" width="13.5546875" customWidth="1"/>
    <col min="10" max="10" width="9.109375" customWidth="1"/>
    <col min="11" max="1025" width="14.44140625" customWidth="1"/>
  </cols>
  <sheetData>
    <row r="1" spans="1:6" ht="15" customHeight="1">
      <c r="A1" s="257" t="s">
        <v>568</v>
      </c>
      <c r="B1" s="257"/>
      <c r="C1" s="257"/>
      <c r="D1" s="257"/>
      <c r="E1" s="257"/>
      <c r="F1" s="257"/>
    </row>
    <row r="2" spans="1:6">
      <c r="A2" s="257"/>
      <c r="B2" s="257"/>
      <c r="C2" s="257"/>
      <c r="D2" s="257"/>
      <c r="E2" s="257"/>
      <c r="F2" s="257"/>
    </row>
    <row r="3" spans="1:6">
      <c r="A3" s="259" t="s">
        <v>564</v>
      </c>
      <c r="B3" s="259"/>
      <c r="C3" s="259"/>
      <c r="D3" s="259"/>
      <c r="E3" s="259"/>
      <c r="F3" s="259"/>
    </row>
    <row r="4" spans="1:6" ht="28.8">
      <c r="A4" s="188" t="s">
        <v>1</v>
      </c>
      <c r="B4" s="187" t="s">
        <v>2</v>
      </c>
      <c r="C4" s="187" t="s">
        <v>472</v>
      </c>
      <c r="D4" s="188" t="s">
        <v>473</v>
      </c>
      <c r="E4" s="189" t="s">
        <v>474</v>
      </c>
      <c r="F4" s="190" t="s">
        <v>475</v>
      </c>
    </row>
    <row r="5" spans="1:6" ht="52.5" customHeight="1">
      <c r="A5" s="191">
        <v>1</v>
      </c>
      <c r="B5" s="202" t="s">
        <v>569</v>
      </c>
      <c r="C5" s="191" t="s">
        <v>472</v>
      </c>
      <c r="D5" s="191">
        <v>1</v>
      </c>
      <c r="E5" s="203">
        <v>49.61</v>
      </c>
      <c r="F5" s="193">
        <f>E5*D5</f>
        <v>49.61</v>
      </c>
    </row>
    <row r="6" spans="1:6" ht="40.35" customHeight="1">
      <c r="A6" s="191">
        <v>2</v>
      </c>
      <c r="B6" s="202" t="s">
        <v>570</v>
      </c>
      <c r="C6" s="191" t="s">
        <v>472</v>
      </c>
      <c r="D6" s="191">
        <v>1</v>
      </c>
      <c r="E6" s="203">
        <v>27.97</v>
      </c>
      <c r="F6" s="193">
        <f>E6*D6</f>
        <v>27.97</v>
      </c>
    </row>
    <row r="7" spans="1:6" ht="16.8" customHeight="1">
      <c r="A7" s="191">
        <v>3</v>
      </c>
      <c r="B7" s="202" t="s">
        <v>571</v>
      </c>
      <c r="C7" s="191" t="s">
        <v>472</v>
      </c>
      <c r="D7" s="191">
        <v>1</v>
      </c>
      <c r="E7" s="203">
        <v>45.62</v>
      </c>
      <c r="F7" s="193">
        <f>E7*D7</f>
        <v>45.62</v>
      </c>
    </row>
    <row r="8" spans="1:6">
      <c r="A8" s="258" t="s">
        <v>475</v>
      </c>
      <c r="B8" s="258"/>
      <c r="C8" s="258"/>
      <c r="D8" s="258"/>
      <c r="E8" s="258"/>
      <c r="F8" s="194">
        <f>SUM(F5:F7)</f>
        <v>123.19999999999999</v>
      </c>
    </row>
    <row r="9" spans="1:6">
      <c r="A9" s="258" t="s">
        <v>540</v>
      </c>
      <c r="B9" s="258"/>
      <c r="C9" s="258"/>
      <c r="D9" s="258"/>
      <c r="E9" s="258"/>
      <c r="F9" s="188">
        <v>7</v>
      </c>
    </row>
    <row r="10" spans="1:6">
      <c r="A10" s="258" t="s">
        <v>541</v>
      </c>
      <c r="B10" s="258"/>
      <c r="C10" s="258"/>
      <c r="D10" s="258"/>
      <c r="E10" s="258"/>
      <c r="F10" s="194">
        <f>ROUND((F8/F9)/12,2)</f>
        <v>1.47</v>
      </c>
    </row>
    <row r="11" spans="1:6">
      <c r="A11" s="261"/>
      <c r="B11" s="261"/>
      <c r="C11" s="261"/>
      <c r="D11" s="261"/>
      <c r="E11" s="261"/>
      <c r="F11" s="204"/>
    </row>
    <row r="13" spans="1:6" ht="13.8" customHeight="1">
      <c r="A13" s="257" t="s">
        <v>572</v>
      </c>
      <c r="B13" s="257"/>
      <c r="C13" s="257"/>
      <c r="D13" s="257"/>
      <c r="E13" s="257"/>
      <c r="F13" s="257"/>
    </row>
    <row r="14" spans="1:6">
      <c r="A14" s="257"/>
      <c r="B14" s="257"/>
      <c r="C14" s="257"/>
      <c r="D14" s="257"/>
      <c r="E14" s="257"/>
      <c r="F14" s="257"/>
    </row>
    <row r="15" spans="1:6">
      <c r="A15" s="262" t="s">
        <v>573</v>
      </c>
      <c r="B15" s="262"/>
      <c r="C15" s="262"/>
      <c r="D15" s="262"/>
      <c r="E15" s="262"/>
      <c r="F15" s="262"/>
    </row>
    <row r="16" spans="1:6" ht="28.8">
      <c r="A16" s="188" t="s">
        <v>1</v>
      </c>
      <c r="B16" s="187" t="s">
        <v>2</v>
      </c>
      <c r="C16" s="187" t="s">
        <v>472</v>
      </c>
      <c r="D16" s="188" t="s">
        <v>473</v>
      </c>
      <c r="E16" s="189" t="s">
        <v>474</v>
      </c>
      <c r="F16" s="190" t="s">
        <v>475</v>
      </c>
    </row>
    <row r="17" spans="1:9" ht="28.8">
      <c r="A17" s="191">
        <v>1</v>
      </c>
      <c r="B17" s="205" t="s">
        <v>574</v>
      </c>
      <c r="C17" s="191" t="s">
        <v>472</v>
      </c>
      <c r="D17" s="191">
        <v>3</v>
      </c>
      <c r="E17" s="203">
        <v>11.07</v>
      </c>
      <c r="F17" s="193">
        <f>E17*D17</f>
        <v>33.21</v>
      </c>
    </row>
    <row r="18" spans="1:9">
      <c r="A18" s="258" t="s">
        <v>475</v>
      </c>
      <c r="B18" s="258"/>
      <c r="C18" s="258"/>
      <c r="D18" s="258"/>
      <c r="E18" s="258"/>
      <c r="F18" s="194">
        <f>SUM(F17:F17)</f>
        <v>33.21</v>
      </c>
    </row>
    <row r="19" spans="1:9">
      <c r="A19" s="258" t="s">
        <v>540</v>
      </c>
      <c r="B19" s="258"/>
      <c r="C19" s="258"/>
      <c r="D19" s="258"/>
      <c r="E19" s="258"/>
      <c r="F19" s="188">
        <v>3</v>
      </c>
    </row>
    <row r="20" spans="1:9">
      <c r="A20" s="258" t="s">
        <v>541</v>
      </c>
      <c r="B20" s="258"/>
      <c r="C20" s="258"/>
      <c r="D20" s="258"/>
      <c r="E20" s="258"/>
      <c r="F20" s="194">
        <f>ROUND((F18/F19)/12,2)</f>
        <v>0.92</v>
      </c>
    </row>
    <row r="23" spans="1:9" ht="15" customHeight="1">
      <c r="A23" s="257" t="s">
        <v>575</v>
      </c>
      <c r="B23" s="257"/>
      <c r="C23" s="257"/>
      <c r="D23" s="257"/>
      <c r="E23" s="257"/>
      <c r="F23" s="257"/>
      <c r="G23" s="257"/>
      <c r="H23" s="257"/>
      <c r="I23" s="257"/>
    </row>
    <row r="24" spans="1:9">
      <c r="A24" s="206"/>
      <c r="B24" s="206"/>
      <c r="C24" s="206"/>
      <c r="D24" s="206"/>
      <c r="E24" s="207"/>
      <c r="F24" s="207"/>
      <c r="G24" s="206"/>
      <c r="H24" s="207"/>
      <c r="I24" s="207"/>
    </row>
    <row r="25" spans="1:9" s="208" customFormat="1">
      <c r="A25" s="258" t="s">
        <v>543</v>
      </c>
      <c r="B25" s="258"/>
      <c r="C25" s="258"/>
      <c r="D25" s="258"/>
      <c r="E25" s="258"/>
      <c r="F25" s="258"/>
      <c r="G25" s="258"/>
      <c r="H25" s="258"/>
      <c r="I25" s="258"/>
    </row>
    <row r="26" spans="1:9" s="208" customFormat="1" ht="57.6">
      <c r="A26" s="188" t="s">
        <v>1</v>
      </c>
      <c r="B26" s="188" t="s">
        <v>2</v>
      </c>
      <c r="C26" s="188" t="s">
        <v>472</v>
      </c>
      <c r="D26" s="188" t="s">
        <v>473</v>
      </c>
      <c r="E26" s="189" t="s">
        <v>474</v>
      </c>
      <c r="F26" s="190" t="s">
        <v>475</v>
      </c>
      <c r="G26" s="209" t="s">
        <v>576</v>
      </c>
      <c r="H26" s="210" t="s">
        <v>577</v>
      </c>
      <c r="I26" s="210" t="s">
        <v>578</v>
      </c>
    </row>
    <row r="27" spans="1:9" s="208" customFormat="1">
      <c r="A27" s="211" t="s">
        <v>64</v>
      </c>
      <c r="B27" s="212" t="s">
        <v>579</v>
      </c>
      <c r="C27" s="44" t="s">
        <v>472</v>
      </c>
      <c r="D27" s="44">
        <v>2</v>
      </c>
      <c r="E27" s="213">
        <v>163.5</v>
      </c>
      <c r="F27" s="213">
        <f>E27*D27</f>
        <v>327</v>
      </c>
      <c r="G27" s="44">
        <v>60</v>
      </c>
      <c r="H27" s="213">
        <f>ROUND(F27*0.8,2)</f>
        <v>261.60000000000002</v>
      </c>
      <c r="I27" s="213">
        <f>ROUND(H27/G27,2)</f>
        <v>4.3600000000000003</v>
      </c>
    </row>
    <row r="28" spans="1:9" s="208" customFormat="1" ht="13.8" customHeight="1">
      <c r="A28" s="263" t="s">
        <v>360</v>
      </c>
      <c r="B28" s="263"/>
      <c r="C28" s="263"/>
      <c r="D28" s="263"/>
      <c r="E28" s="263"/>
      <c r="F28" s="214">
        <f>SUM(F27:F27)</f>
        <v>327</v>
      </c>
      <c r="G28" s="215"/>
      <c r="H28" s="214"/>
      <c r="I28" s="216">
        <f>SUM(I27:I27)</f>
        <v>4.3600000000000003</v>
      </c>
    </row>
    <row r="29" spans="1:9" s="208" customFormat="1" ht="13.8" customHeight="1">
      <c r="A29" s="257" t="s">
        <v>540</v>
      </c>
      <c r="B29" s="257"/>
      <c r="C29" s="257"/>
      <c r="D29" s="257"/>
      <c r="E29" s="257"/>
      <c r="F29" s="257"/>
      <c r="G29" s="257"/>
      <c r="H29" s="257"/>
      <c r="I29" s="217">
        <v>31</v>
      </c>
    </row>
    <row r="30" spans="1:9" s="208" customFormat="1" ht="13.8" customHeight="1">
      <c r="A30" s="257" t="s">
        <v>541</v>
      </c>
      <c r="B30" s="257"/>
      <c r="C30" s="257"/>
      <c r="D30" s="257"/>
      <c r="E30" s="257"/>
      <c r="F30" s="257"/>
      <c r="G30" s="257"/>
      <c r="H30" s="257"/>
      <c r="I30" s="218">
        <f>ROUND(I28/I29,2)</f>
        <v>0.14000000000000001</v>
      </c>
    </row>
    <row r="31" spans="1:9">
      <c r="A31" s="206"/>
      <c r="B31" s="206"/>
      <c r="C31" s="206"/>
      <c r="D31" s="206"/>
      <c r="E31" s="207"/>
      <c r="F31" s="207"/>
      <c r="G31" s="206"/>
      <c r="H31" s="207"/>
      <c r="I31" s="207"/>
    </row>
    <row r="32" spans="1:9">
      <c r="A32" s="258" t="s">
        <v>564</v>
      </c>
      <c r="B32" s="258"/>
      <c r="C32" s="258"/>
      <c r="D32" s="258"/>
      <c r="E32" s="258"/>
      <c r="F32" s="258"/>
      <c r="G32" s="258"/>
      <c r="H32" s="258"/>
      <c r="I32" s="258"/>
    </row>
    <row r="33" spans="1:9" ht="57.6">
      <c r="A33" s="188" t="s">
        <v>1</v>
      </c>
      <c r="B33" s="188" t="s">
        <v>2</v>
      </c>
      <c r="C33" s="188" t="s">
        <v>472</v>
      </c>
      <c r="D33" s="188" t="s">
        <v>473</v>
      </c>
      <c r="E33" s="189" t="s">
        <v>474</v>
      </c>
      <c r="F33" s="190" t="s">
        <v>475</v>
      </c>
      <c r="G33" s="209" t="s">
        <v>576</v>
      </c>
      <c r="H33" s="210" t="s">
        <v>577</v>
      </c>
      <c r="I33" s="210" t="s">
        <v>578</v>
      </c>
    </row>
    <row r="34" spans="1:9" ht="33.75" customHeight="1">
      <c r="A34" s="191">
        <v>1</v>
      </c>
      <c r="B34" s="202" t="s">
        <v>580</v>
      </c>
      <c r="C34" s="191" t="s">
        <v>472</v>
      </c>
      <c r="D34" s="191">
        <v>1</v>
      </c>
      <c r="E34" s="203">
        <v>1561.06</v>
      </c>
      <c r="F34" s="193">
        <f>D34*E34</f>
        <v>1561.06</v>
      </c>
      <c r="G34" s="191">
        <v>60</v>
      </c>
      <c r="H34" s="193">
        <f>ROUND(F34*0.8,2)</f>
        <v>1248.8499999999999</v>
      </c>
      <c r="I34" s="193">
        <f>ROUND(H34/G34,2)</f>
        <v>20.81</v>
      </c>
    </row>
    <row r="35" spans="1:9">
      <c r="A35" s="191">
        <v>2</v>
      </c>
      <c r="B35" s="212" t="s">
        <v>581</v>
      </c>
      <c r="C35" s="191" t="s">
        <v>472</v>
      </c>
      <c r="D35" s="191">
        <v>4</v>
      </c>
      <c r="E35" s="203">
        <v>168.16</v>
      </c>
      <c r="F35" s="193">
        <f>E35*D35</f>
        <v>672.64</v>
      </c>
      <c r="G35" s="191">
        <v>60</v>
      </c>
      <c r="H35" s="193">
        <f>ROUND(F35*0.8,2)</f>
        <v>538.11</v>
      </c>
      <c r="I35" s="193">
        <f>ROUND(H35/G35,2)</f>
        <v>8.9700000000000006</v>
      </c>
    </row>
    <row r="36" spans="1:9" ht="15" customHeight="1">
      <c r="A36" s="263" t="s">
        <v>360</v>
      </c>
      <c r="B36" s="263"/>
      <c r="C36" s="263"/>
      <c r="D36" s="263"/>
      <c r="E36" s="263"/>
      <c r="F36" s="214">
        <f>SUM(F34:F35)</f>
        <v>2233.6999999999998</v>
      </c>
      <c r="G36" s="215"/>
      <c r="H36" s="214"/>
      <c r="I36" s="216">
        <f>SUM(I34:I35)</f>
        <v>29.78</v>
      </c>
    </row>
    <row r="37" spans="1:9" ht="15" customHeight="1">
      <c r="A37" s="257" t="s">
        <v>540</v>
      </c>
      <c r="B37" s="257"/>
      <c r="C37" s="257"/>
      <c r="D37" s="257"/>
      <c r="E37" s="257"/>
      <c r="F37" s="257"/>
      <c r="G37" s="257"/>
      <c r="H37" s="257"/>
      <c r="I37" s="217">
        <v>7</v>
      </c>
    </row>
    <row r="38" spans="1:9" ht="15" customHeight="1">
      <c r="A38" s="257" t="s">
        <v>541</v>
      </c>
      <c r="B38" s="257"/>
      <c r="C38" s="257"/>
      <c r="D38" s="257"/>
      <c r="E38" s="257"/>
      <c r="F38" s="257"/>
      <c r="G38" s="257"/>
      <c r="H38" s="257"/>
      <c r="I38" s="218">
        <f>ROUND(I36/I37,2)</f>
        <v>4.25</v>
      </c>
    </row>
    <row r="39" spans="1:9">
      <c r="E39" s="196"/>
      <c r="F39" s="196"/>
      <c r="H39" s="196"/>
      <c r="I39" s="196"/>
    </row>
    <row r="40" spans="1:9">
      <c r="A40" s="258" t="s">
        <v>450</v>
      </c>
      <c r="B40" s="258"/>
      <c r="C40" s="258"/>
      <c r="D40" s="258"/>
      <c r="E40" s="258"/>
      <c r="F40" s="258"/>
      <c r="G40" s="258"/>
      <c r="H40" s="258"/>
      <c r="I40" s="258"/>
    </row>
    <row r="41" spans="1:9" ht="57.6">
      <c r="A41" s="188" t="s">
        <v>1</v>
      </c>
      <c r="B41" s="188" t="s">
        <v>2</v>
      </c>
      <c r="C41" s="188" t="s">
        <v>472</v>
      </c>
      <c r="D41" s="188" t="s">
        <v>473</v>
      </c>
      <c r="E41" s="189" t="s">
        <v>474</v>
      </c>
      <c r="F41" s="190" t="s">
        <v>475</v>
      </c>
      <c r="G41" s="209" t="s">
        <v>576</v>
      </c>
      <c r="H41" s="210" t="s">
        <v>577</v>
      </c>
      <c r="I41" s="210" t="s">
        <v>578</v>
      </c>
    </row>
    <row r="42" spans="1:9" ht="57.6">
      <c r="A42" s="191">
        <v>1</v>
      </c>
      <c r="B42" s="192" t="s">
        <v>582</v>
      </c>
      <c r="C42" s="191" t="s">
        <v>472</v>
      </c>
      <c r="D42" s="191">
        <v>3</v>
      </c>
      <c r="E42" s="203">
        <v>1287.17</v>
      </c>
      <c r="F42" s="193">
        <f>E42*D42</f>
        <v>3861.51</v>
      </c>
      <c r="G42" s="191">
        <v>60</v>
      </c>
      <c r="H42" s="193">
        <f>ROUND(F42*0.8,2)</f>
        <v>3089.21</v>
      </c>
      <c r="I42" s="193">
        <f>ROUND(H42/G42,2)</f>
        <v>51.49</v>
      </c>
    </row>
    <row r="43" spans="1:9" ht="15" customHeight="1">
      <c r="A43" s="263" t="s">
        <v>360</v>
      </c>
      <c r="B43" s="263"/>
      <c r="C43" s="263"/>
      <c r="D43" s="263"/>
      <c r="E43" s="263"/>
      <c r="F43" s="214">
        <f>SUM(F42:F42)</f>
        <v>3861.51</v>
      </c>
      <c r="G43" s="215"/>
      <c r="H43" s="214"/>
      <c r="I43" s="216">
        <f>SUM(I42:I42)</f>
        <v>51.49</v>
      </c>
    </row>
    <row r="44" spans="1:9" ht="15" customHeight="1">
      <c r="A44" s="257" t="s">
        <v>540</v>
      </c>
      <c r="B44" s="257"/>
      <c r="C44" s="257"/>
      <c r="D44" s="257"/>
      <c r="E44" s="257"/>
      <c r="F44" s="257"/>
      <c r="G44" s="257"/>
      <c r="H44" s="257"/>
      <c r="I44" s="217">
        <v>3</v>
      </c>
    </row>
    <row r="45" spans="1:9" ht="15" customHeight="1">
      <c r="A45" s="257" t="s">
        <v>541</v>
      </c>
      <c r="B45" s="257"/>
      <c r="C45" s="257"/>
      <c r="D45" s="257"/>
      <c r="E45" s="257"/>
      <c r="F45" s="257"/>
      <c r="G45" s="257"/>
      <c r="H45" s="257"/>
      <c r="I45" s="218">
        <f>ROUND(I43/I44,2)</f>
        <v>17.16</v>
      </c>
    </row>
    <row r="46" spans="1:9">
      <c r="E46" s="196"/>
      <c r="F46" s="196"/>
      <c r="H46" s="196"/>
      <c r="I46" s="196"/>
    </row>
    <row r="47" spans="1:9" ht="15" customHeight="1">
      <c r="A47" s="257" t="s">
        <v>566</v>
      </c>
      <c r="B47" s="257"/>
      <c r="C47" s="257"/>
      <c r="D47" s="257"/>
      <c r="E47" s="257"/>
      <c r="F47" s="257"/>
      <c r="G47" s="257"/>
      <c r="H47" s="257"/>
      <c r="I47" s="219">
        <f>SUM(I30)</f>
        <v>0.14000000000000001</v>
      </c>
    </row>
    <row r="48" spans="1:9" ht="15" customHeight="1">
      <c r="A48" s="257" t="s">
        <v>567</v>
      </c>
      <c r="B48" s="257"/>
      <c r="C48" s="257"/>
      <c r="D48" s="257"/>
      <c r="E48" s="257"/>
      <c r="F48" s="257"/>
      <c r="G48" s="257"/>
      <c r="H48" s="257"/>
      <c r="I48" s="218">
        <f>SUM(I38+F10)</f>
        <v>5.72</v>
      </c>
    </row>
    <row r="49" spans="1:9" ht="15" customHeight="1">
      <c r="A49" s="257" t="s">
        <v>583</v>
      </c>
      <c r="B49" s="257"/>
      <c r="C49" s="257"/>
      <c r="D49" s="257"/>
      <c r="E49" s="257"/>
      <c r="F49" s="257"/>
      <c r="G49" s="257"/>
      <c r="H49" s="257"/>
      <c r="I49" s="220">
        <f>SUM(I45+F20)</f>
        <v>18.080000000000002</v>
      </c>
    </row>
  </sheetData>
  <mergeCells count="27">
    <mergeCell ref="A48:H48"/>
    <mergeCell ref="A49:H49"/>
    <mergeCell ref="A40:I40"/>
    <mergeCell ref="A43:E43"/>
    <mergeCell ref="A44:H44"/>
    <mergeCell ref="A45:H45"/>
    <mergeCell ref="A47:H47"/>
    <mergeCell ref="A30:H30"/>
    <mergeCell ref="A32:I32"/>
    <mergeCell ref="A36:E36"/>
    <mergeCell ref="A37:H37"/>
    <mergeCell ref="A38:H38"/>
    <mergeCell ref="A20:E20"/>
    <mergeCell ref="A23:I23"/>
    <mergeCell ref="A25:I25"/>
    <mergeCell ref="A28:E28"/>
    <mergeCell ref="A29:H29"/>
    <mergeCell ref="A11:E11"/>
    <mergeCell ref="A13:F14"/>
    <mergeCell ref="A15:F15"/>
    <mergeCell ref="A18:E18"/>
    <mergeCell ref="A19:E19"/>
    <mergeCell ref="A1:F2"/>
    <mergeCell ref="A3:F3"/>
    <mergeCell ref="A8:E8"/>
    <mergeCell ref="A9:E9"/>
    <mergeCell ref="A10:E10"/>
  </mergeCells>
  <pageMargins left="0.75" right="0.75" top="1" bottom="1" header="0.51180555555555496" footer="0.51180555555555496"/>
  <pageSetup scale="90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3"/>
  <sheetViews>
    <sheetView view="pageBreakPreview" topLeftCell="A16" zoomScale="80" zoomScaleNormal="100" zoomScalePageLayoutView="80" workbookViewId="0">
      <selection activeCell="A43" sqref="A43"/>
    </sheetView>
  </sheetViews>
  <sheetFormatPr defaultRowHeight="14.4"/>
  <cols>
    <col min="1" max="1" width="6.109375" customWidth="1"/>
    <col min="2" max="2" width="68.33203125" customWidth="1"/>
    <col min="3" max="3" width="11.109375" customWidth="1"/>
    <col min="4" max="4" width="8.88671875" customWidth="1"/>
    <col min="5" max="5" width="11.6640625" customWidth="1"/>
    <col min="6" max="1025" width="14.44140625" customWidth="1"/>
  </cols>
  <sheetData>
    <row r="1" spans="1:6">
      <c r="A1" s="258" t="s">
        <v>584</v>
      </c>
      <c r="B1" s="258"/>
      <c r="C1" s="258"/>
      <c r="D1" s="258"/>
      <c r="E1" s="258"/>
      <c r="F1" s="258"/>
    </row>
    <row r="2" spans="1:6">
      <c r="A2" s="258" t="s">
        <v>585</v>
      </c>
      <c r="B2" s="258"/>
      <c r="C2" s="258"/>
      <c r="D2" s="258"/>
      <c r="E2" s="258"/>
      <c r="F2" s="258"/>
    </row>
    <row r="3" spans="1:6" ht="28.8">
      <c r="A3" s="188" t="s">
        <v>1</v>
      </c>
      <c r="B3" s="188" t="s">
        <v>2</v>
      </c>
      <c r="C3" s="187" t="s">
        <v>472</v>
      </c>
      <c r="D3" s="188" t="s">
        <v>473</v>
      </c>
      <c r="E3" s="189" t="s">
        <v>474</v>
      </c>
      <c r="F3" s="189" t="s">
        <v>475</v>
      </c>
    </row>
    <row r="4" spans="1:6" ht="28.8">
      <c r="A4" s="191">
        <v>1</v>
      </c>
      <c r="B4" s="192" t="s">
        <v>586</v>
      </c>
      <c r="C4" s="191" t="s">
        <v>587</v>
      </c>
      <c r="D4" s="191">
        <v>4</v>
      </c>
      <c r="E4" s="193">
        <v>19.46</v>
      </c>
      <c r="F4" s="203">
        <f>E4*D4</f>
        <v>77.84</v>
      </c>
    </row>
    <row r="5" spans="1:6">
      <c r="A5" s="191">
        <v>2</v>
      </c>
      <c r="B5" s="192" t="s">
        <v>588</v>
      </c>
      <c r="C5" s="191" t="s">
        <v>472</v>
      </c>
      <c r="D5" s="191">
        <v>2</v>
      </c>
      <c r="E5" s="193">
        <v>21.62</v>
      </c>
      <c r="F5" s="203">
        <f>E5*D5</f>
        <v>43.24</v>
      </c>
    </row>
    <row r="6" spans="1:6" ht="43.2">
      <c r="A6" s="191">
        <v>3</v>
      </c>
      <c r="B6" s="192" t="s">
        <v>589</v>
      </c>
      <c r="C6" s="191" t="s">
        <v>472</v>
      </c>
      <c r="D6" s="191">
        <v>2</v>
      </c>
      <c r="E6" s="193">
        <v>10.1</v>
      </c>
      <c r="F6" s="203">
        <f>E6*D6</f>
        <v>20.2</v>
      </c>
    </row>
    <row r="7" spans="1:6">
      <c r="A7" s="264" t="s">
        <v>590</v>
      </c>
      <c r="B7" s="264"/>
      <c r="C7" s="264"/>
      <c r="D7" s="264"/>
      <c r="E7" s="264"/>
      <c r="F7" s="221">
        <f>SUM(F4:F6)</f>
        <v>141.28</v>
      </c>
    </row>
    <row r="8" spans="1:6">
      <c r="A8" s="264" t="s">
        <v>591</v>
      </c>
      <c r="B8" s="264"/>
      <c r="C8" s="264"/>
      <c r="D8" s="264"/>
      <c r="E8" s="264"/>
      <c r="F8" s="221">
        <f>(F7/7)</f>
        <v>20.182857142857141</v>
      </c>
    </row>
    <row r="9" spans="1:6">
      <c r="A9" s="36"/>
      <c r="B9" s="36"/>
      <c r="C9" s="36"/>
      <c r="D9" s="36"/>
      <c r="E9" s="222"/>
      <c r="F9" s="222"/>
    </row>
    <row r="10" spans="1:6">
      <c r="A10" s="258" t="s">
        <v>592</v>
      </c>
      <c r="B10" s="258"/>
      <c r="C10" s="258"/>
      <c r="D10" s="258"/>
      <c r="E10" s="258"/>
      <c r="F10" s="258"/>
    </row>
    <row r="11" spans="1:6" ht="28.8">
      <c r="A11" s="188" t="s">
        <v>1</v>
      </c>
      <c r="B11" s="188" t="s">
        <v>2</v>
      </c>
      <c r="C11" s="187" t="s">
        <v>472</v>
      </c>
      <c r="D11" s="188" t="s">
        <v>473</v>
      </c>
      <c r="E11" s="189" t="s">
        <v>474</v>
      </c>
      <c r="F11" s="189" t="s">
        <v>475</v>
      </c>
    </row>
    <row r="12" spans="1:6" ht="43.2">
      <c r="A12" s="191">
        <v>1</v>
      </c>
      <c r="B12" s="192" t="s">
        <v>593</v>
      </c>
      <c r="C12" s="191" t="s">
        <v>587</v>
      </c>
      <c r="D12" s="191">
        <v>15</v>
      </c>
      <c r="E12" s="193">
        <v>5.37</v>
      </c>
      <c r="F12" s="203">
        <f>E12*D12</f>
        <v>80.55</v>
      </c>
    </row>
    <row r="13" spans="1:6" ht="43.2">
      <c r="A13" s="191">
        <v>2</v>
      </c>
      <c r="B13" s="192" t="s">
        <v>594</v>
      </c>
      <c r="C13" s="191" t="s">
        <v>587</v>
      </c>
      <c r="D13" s="191">
        <v>10</v>
      </c>
      <c r="E13" s="193">
        <v>5.42</v>
      </c>
      <c r="F13" s="203">
        <f>E13*D13</f>
        <v>54.2</v>
      </c>
    </row>
    <row r="14" spans="1:6" ht="43.2">
      <c r="A14" s="191">
        <v>3</v>
      </c>
      <c r="B14" s="192" t="s">
        <v>595</v>
      </c>
      <c r="C14" s="191" t="s">
        <v>587</v>
      </c>
      <c r="D14" s="191">
        <v>5</v>
      </c>
      <c r="E14" s="193">
        <v>5.12</v>
      </c>
      <c r="F14" s="203">
        <f>E14*D14</f>
        <v>25.6</v>
      </c>
    </row>
    <row r="15" spans="1:6">
      <c r="A15" s="264" t="s">
        <v>590</v>
      </c>
      <c r="B15" s="264"/>
      <c r="C15" s="264"/>
      <c r="D15" s="264"/>
      <c r="E15" s="264"/>
      <c r="F15" s="221">
        <f>SUM(F12:F14)</f>
        <v>160.35</v>
      </c>
    </row>
    <row r="16" spans="1:6">
      <c r="A16" s="264" t="s">
        <v>591</v>
      </c>
      <c r="B16" s="264"/>
      <c r="C16" s="264"/>
      <c r="D16" s="264"/>
      <c r="E16" s="264"/>
      <c r="F16" s="221">
        <f>(F15/12)</f>
        <v>13.362499999999999</v>
      </c>
    </row>
    <row r="17" spans="1:6">
      <c r="A17" s="36"/>
      <c r="B17" s="36"/>
      <c r="C17" s="36"/>
      <c r="D17" s="36"/>
      <c r="E17" s="222"/>
      <c r="F17" s="222"/>
    </row>
    <row r="18" spans="1:6">
      <c r="A18" s="258" t="s">
        <v>596</v>
      </c>
      <c r="B18" s="258"/>
      <c r="C18" s="258"/>
      <c r="D18" s="258"/>
      <c r="E18" s="258"/>
      <c r="F18" s="258"/>
    </row>
    <row r="19" spans="1:6" ht="28.8">
      <c r="A19" s="188" t="s">
        <v>1</v>
      </c>
      <c r="B19" s="188" t="s">
        <v>2</v>
      </c>
      <c r="C19" s="187" t="s">
        <v>472</v>
      </c>
      <c r="D19" s="188" t="s">
        <v>473</v>
      </c>
      <c r="E19" s="189" t="s">
        <v>474</v>
      </c>
      <c r="F19" s="189" t="s">
        <v>475</v>
      </c>
    </row>
    <row r="20" spans="1:6">
      <c r="A20" s="191">
        <v>1</v>
      </c>
      <c r="B20" s="192" t="s">
        <v>597</v>
      </c>
      <c r="C20" s="191" t="s">
        <v>472</v>
      </c>
      <c r="D20" s="191">
        <v>30</v>
      </c>
      <c r="E20" s="193">
        <v>5.12</v>
      </c>
      <c r="F20" s="203">
        <f>E20*D20</f>
        <v>153.6</v>
      </c>
    </row>
    <row r="21" spans="1:6">
      <c r="A21" s="264" t="s">
        <v>590</v>
      </c>
      <c r="B21" s="264"/>
      <c r="C21" s="264"/>
      <c r="D21" s="264"/>
      <c r="E21" s="264"/>
      <c r="F21" s="221">
        <f>SUM(F20:F20)</f>
        <v>153.6</v>
      </c>
    </row>
    <row r="22" spans="1:6">
      <c r="A22" s="264" t="s">
        <v>591</v>
      </c>
      <c r="B22" s="264"/>
      <c r="C22" s="264"/>
      <c r="D22" s="264"/>
      <c r="E22" s="264"/>
      <c r="F22" s="221">
        <f>(F21/12)</f>
        <v>12.799999999999999</v>
      </c>
    </row>
    <row r="23" spans="1:6">
      <c r="A23" s="36"/>
      <c r="B23" s="36"/>
      <c r="C23" s="36"/>
      <c r="D23" s="36"/>
      <c r="E23" s="222"/>
      <c r="F23" s="222"/>
    </row>
    <row r="24" spans="1:6">
      <c r="A24" s="258" t="s">
        <v>598</v>
      </c>
      <c r="B24" s="258"/>
      <c r="C24" s="258"/>
      <c r="D24" s="258"/>
      <c r="E24" s="258"/>
      <c r="F24" s="258"/>
    </row>
    <row r="25" spans="1:6" ht="28.8">
      <c r="A25" s="188" t="s">
        <v>1</v>
      </c>
      <c r="B25" s="188" t="s">
        <v>2</v>
      </c>
      <c r="C25" s="187" t="s">
        <v>472</v>
      </c>
      <c r="D25" s="188" t="s">
        <v>473</v>
      </c>
      <c r="E25" s="189" t="s">
        <v>474</v>
      </c>
      <c r="F25" s="189" t="s">
        <v>475</v>
      </c>
    </row>
    <row r="26" spans="1:6">
      <c r="A26" s="191">
        <v>1</v>
      </c>
      <c r="B26" s="192" t="s">
        <v>599</v>
      </c>
      <c r="C26" s="191" t="s">
        <v>472</v>
      </c>
      <c r="D26" s="191">
        <v>3</v>
      </c>
      <c r="E26" s="193">
        <v>50.34</v>
      </c>
      <c r="F26" s="203">
        <f>E26*D26</f>
        <v>151.02000000000001</v>
      </c>
    </row>
    <row r="27" spans="1:6" ht="28.8">
      <c r="A27" s="191">
        <v>2</v>
      </c>
      <c r="B27" s="192" t="s">
        <v>600</v>
      </c>
      <c r="C27" s="191" t="s">
        <v>472</v>
      </c>
      <c r="D27" s="191">
        <v>3</v>
      </c>
      <c r="E27" s="193">
        <v>1545.96</v>
      </c>
      <c r="F27" s="203">
        <f>E27*D27</f>
        <v>4637.88</v>
      </c>
    </row>
    <row r="28" spans="1:6" ht="28.8">
      <c r="A28" s="191">
        <v>3</v>
      </c>
      <c r="B28" s="192" t="s">
        <v>601</v>
      </c>
      <c r="C28" s="191" t="s">
        <v>602</v>
      </c>
      <c r="D28" s="191">
        <v>1</v>
      </c>
      <c r="E28" s="193">
        <v>2.5099999999999998</v>
      </c>
      <c r="F28" s="203">
        <f>E28*D28</f>
        <v>2.5099999999999998</v>
      </c>
    </row>
    <row r="29" spans="1:6" ht="28.8">
      <c r="A29" s="191">
        <v>4</v>
      </c>
      <c r="B29" s="192" t="s">
        <v>586</v>
      </c>
      <c r="C29" s="191" t="s">
        <v>587</v>
      </c>
      <c r="D29" s="191">
        <v>3</v>
      </c>
      <c r="E29" s="193">
        <v>19.46</v>
      </c>
      <c r="F29" s="203">
        <f>E29*D29</f>
        <v>58.38</v>
      </c>
    </row>
    <row r="30" spans="1:6">
      <c r="A30" s="191">
        <v>5</v>
      </c>
      <c r="B30" s="192" t="s">
        <v>588</v>
      </c>
      <c r="C30" s="191" t="s">
        <v>472</v>
      </c>
      <c r="D30" s="191">
        <v>3</v>
      </c>
      <c r="E30" s="193">
        <v>21.62</v>
      </c>
      <c r="F30" s="203">
        <f>E30*D30</f>
        <v>64.86</v>
      </c>
    </row>
    <row r="31" spans="1:6">
      <c r="A31" s="265" t="s">
        <v>590</v>
      </c>
      <c r="B31" s="265"/>
      <c r="C31" s="265"/>
      <c r="D31" s="265"/>
      <c r="E31" s="265"/>
      <c r="F31" s="223">
        <f>SUM(F26:F30)</f>
        <v>4914.6500000000005</v>
      </c>
    </row>
    <row r="32" spans="1:6">
      <c r="A32" s="264" t="s">
        <v>591</v>
      </c>
      <c r="B32" s="264"/>
      <c r="C32" s="264"/>
      <c r="D32" s="264"/>
      <c r="E32" s="264"/>
      <c r="F32" s="221">
        <f>ROUND(F31/12,2)</f>
        <v>409.55</v>
      </c>
    </row>
    <row r="33" ht="32.25" customHeight="1"/>
  </sheetData>
  <mergeCells count="13">
    <mergeCell ref="A24:F24"/>
    <mergeCell ref="A31:E31"/>
    <mergeCell ref="A32:E32"/>
    <mergeCell ref="A15:E15"/>
    <mergeCell ref="A16:E16"/>
    <mergeCell ref="A18:F18"/>
    <mergeCell ref="A21:E21"/>
    <mergeCell ref="A22:E22"/>
    <mergeCell ref="A1:F1"/>
    <mergeCell ref="A2:F2"/>
    <mergeCell ref="A7:E7"/>
    <mergeCell ref="A8:E8"/>
    <mergeCell ref="A10:F10"/>
  </mergeCells>
  <pageMargins left="0.78749999999999998" right="0.78749999999999998" top="1.05277777777778" bottom="1.05277777777778" header="0" footer="0"/>
  <pageSetup paperSize="9" scale="70" firstPageNumber="0" orientation="portrait" horizontalDpi="300" verticalDpi="300" r:id="rId1"/>
  <headerFooter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32"/>
  <sheetViews>
    <sheetView view="pageBreakPreview" topLeftCell="A21" zoomScale="80" zoomScaleNormal="100" zoomScalePageLayoutView="80" workbookViewId="0">
      <selection activeCell="A48" sqref="A48"/>
    </sheetView>
  </sheetViews>
  <sheetFormatPr defaultRowHeight="14.4"/>
  <cols>
    <col min="1" max="1" width="6" customWidth="1"/>
    <col min="2" max="2" width="50" customWidth="1"/>
    <col min="3" max="3" width="9.44140625" customWidth="1"/>
    <col min="4" max="4" width="11.33203125" customWidth="1"/>
    <col min="5" max="5" width="13.88671875" customWidth="1"/>
    <col min="6" max="6" width="9.5546875" customWidth="1"/>
    <col min="7" max="7" width="14" customWidth="1"/>
    <col min="8" max="27" width="10.44140625" customWidth="1"/>
    <col min="28" max="1025" width="14.44140625" customWidth="1"/>
  </cols>
  <sheetData>
    <row r="1" spans="1:27">
      <c r="A1" s="266" t="s">
        <v>603</v>
      </c>
      <c r="B1" s="266"/>
      <c r="C1" s="266"/>
      <c r="D1" s="266"/>
      <c r="E1" s="266"/>
      <c r="F1" s="266"/>
      <c r="G1" s="266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</row>
    <row r="2" spans="1:27">
      <c r="A2" s="186"/>
      <c r="B2" s="36"/>
      <c r="C2" s="36"/>
      <c r="D2" s="36"/>
      <c r="E2" s="36"/>
      <c r="F2" s="36"/>
      <c r="G2" s="36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27">
      <c r="A3" s="258" t="s">
        <v>604</v>
      </c>
      <c r="B3" s="258"/>
      <c r="C3" s="258"/>
      <c r="D3" s="258"/>
      <c r="E3" s="258"/>
      <c r="F3" s="258"/>
      <c r="G3" s="258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27" ht="28.8">
      <c r="A4" s="188" t="s">
        <v>1</v>
      </c>
      <c r="B4" s="188" t="s">
        <v>2</v>
      </c>
      <c r="C4" s="188" t="s">
        <v>472</v>
      </c>
      <c r="D4" s="188" t="s">
        <v>605</v>
      </c>
      <c r="E4" s="187" t="s">
        <v>606</v>
      </c>
      <c r="F4" s="189" t="s">
        <v>474</v>
      </c>
      <c r="G4" s="190" t="s">
        <v>475</v>
      </c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</row>
    <row r="5" spans="1:27" ht="43.2">
      <c r="A5" s="225">
        <v>1</v>
      </c>
      <c r="B5" s="226" t="s">
        <v>607</v>
      </c>
      <c r="C5" s="227" t="s">
        <v>587</v>
      </c>
      <c r="D5" s="227" t="s">
        <v>608</v>
      </c>
      <c r="E5" s="225">
        <v>1</v>
      </c>
      <c r="F5" s="228">
        <v>43.66</v>
      </c>
      <c r="G5" s="228">
        <f t="shared" ref="G5:G10" si="0">F5*E5</f>
        <v>43.66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</row>
    <row r="6" spans="1:27" ht="24.3" customHeight="1">
      <c r="A6" s="225">
        <v>2</v>
      </c>
      <c r="B6" s="192" t="s">
        <v>609</v>
      </c>
      <c r="C6" s="42" t="s">
        <v>472</v>
      </c>
      <c r="D6" s="42" t="s">
        <v>608</v>
      </c>
      <c r="E6" s="191">
        <v>2</v>
      </c>
      <c r="F6" s="193">
        <v>53.51</v>
      </c>
      <c r="G6" s="193">
        <f t="shared" si="0"/>
        <v>107.02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</row>
    <row r="7" spans="1:27" ht="28.8">
      <c r="A7" s="225">
        <v>3</v>
      </c>
      <c r="B7" s="192" t="s">
        <v>610</v>
      </c>
      <c r="C7" s="42" t="s">
        <v>472</v>
      </c>
      <c r="D7" s="42" t="s">
        <v>608</v>
      </c>
      <c r="E7" s="191">
        <v>2</v>
      </c>
      <c r="F7" s="193">
        <v>33.729999999999997</v>
      </c>
      <c r="G7" s="193">
        <f t="shared" si="0"/>
        <v>67.459999999999994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</row>
    <row r="8" spans="1:27" ht="30" customHeight="1">
      <c r="A8" s="225">
        <v>4</v>
      </c>
      <c r="B8" s="192" t="s">
        <v>611</v>
      </c>
      <c r="C8" s="42" t="s">
        <v>472</v>
      </c>
      <c r="D8" s="42" t="s">
        <v>608</v>
      </c>
      <c r="E8" s="191">
        <v>1</v>
      </c>
      <c r="F8" s="193">
        <v>6.99</v>
      </c>
      <c r="G8" s="193">
        <f t="shared" si="0"/>
        <v>6.99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</row>
    <row r="9" spans="1:27" ht="25.35" customHeight="1">
      <c r="A9" s="225">
        <v>5</v>
      </c>
      <c r="B9" s="229" t="s">
        <v>612</v>
      </c>
      <c r="C9" s="42" t="s">
        <v>587</v>
      </c>
      <c r="D9" s="42" t="s">
        <v>608</v>
      </c>
      <c r="E9" s="191">
        <v>4</v>
      </c>
      <c r="F9" s="193">
        <v>7.51</v>
      </c>
      <c r="G9" s="193">
        <f t="shared" si="0"/>
        <v>30.04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</row>
    <row r="10" spans="1:27" ht="43.2">
      <c r="A10" s="191">
        <v>6</v>
      </c>
      <c r="B10" s="229" t="s">
        <v>613</v>
      </c>
      <c r="C10" s="42" t="s">
        <v>587</v>
      </c>
      <c r="D10" s="42" t="s">
        <v>608</v>
      </c>
      <c r="E10" s="191">
        <v>1</v>
      </c>
      <c r="F10" s="193">
        <v>55.44</v>
      </c>
      <c r="G10" s="193">
        <f t="shared" si="0"/>
        <v>55.44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</row>
    <row r="11" spans="1:27">
      <c r="A11" s="267" t="s">
        <v>614</v>
      </c>
      <c r="B11" s="267"/>
      <c r="C11" s="267"/>
      <c r="D11" s="267"/>
      <c r="E11" s="267"/>
      <c r="F11" s="267"/>
      <c r="G11" s="230">
        <f>SUM(G5:G10)</f>
        <v>310.61</v>
      </c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</row>
    <row r="12" spans="1:27">
      <c r="A12" s="264" t="s">
        <v>615</v>
      </c>
      <c r="B12" s="264"/>
      <c r="C12" s="264"/>
      <c r="D12" s="264"/>
      <c r="E12" s="264"/>
      <c r="F12" s="264"/>
      <c r="G12" s="231">
        <f>ROUND(G11/12,2)</f>
        <v>25.88</v>
      </c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</row>
    <row r="13" spans="1:27">
      <c r="A13" s="36"/>
      <c r="B13" s="36"/>
      <c r="C13" s="36"/>
      <c r="D13" s="36"/>
      <c r="E13" s="36"/>
      <c r="F13" s="222"/>
      <c r="G13" s="222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</row>
    <row r="14" spans="1:27">
      <c r="A14" s="258" t="s">
        <v>616</v>
      </c>
      <c r="B14" s="258"/>
      <c r="C14" s="258"/>
      <c r="D14" s="258"/>
      <c r="E14" s="258"/>
      <c r="F14" s="258"/>
      <c r="G14" s="258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</row>
    <row r="15" spans="1:27" ht="28.8">
      <c r="A15" s="188" t="s">
        <v>1</v>
      </c>
      <c r="B15" s="188" t="s">
        <v>2</v>
      </c>
      <c r="C15" s="188" t="s">
        <v>472</v>
      </c>
      <c r="D15" s="188" t="s">
        <v>605</v>
      </c>
      <c r="E15" s="187" t="s">
        <v>606</v>
      </c>
      <c r="F15" s="189" t="s">
        <v>474</v>
      </c>
      <c r="G15" s="190" t="s">
        <v>475</v>
      </c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</row>
    <row r="16" spans="1:27">
      <c r="A16" s="191">
        <v>1</v>
      </c>
      <c r="B16" s="192" t="s">
        <v>609</v>
      </c>
      <c r="C16" s="42" t="s">
        <v>472</v>
      </c>
      <c r="D16" s="42" t="s">
        <v>608</v>
      </c>
      <c r="E16" s="191">
        <v>2</v>
      </c>
      <c r="F16" s="193">
        <v>53.51</v>
      </c>
      <c r="G16" s="193">
        <f>F16*E16</f>
        <v>107.02</v>
      </c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</row>
    <row r="17" spans="1:27" ht="28.8">
      <c r="A17" s="191">
        <v>2</v>
      </c>
      <c r="B17" s="192" t="s">
        <v>610</v>
      </c>
      <c r="C17" s="42" t="s">
        <v>472</v>
      </c>
      <c r="D17" s="42" t="s">
        <v>608</v>
      </c>
      <c r="E17" s="191">
        <v>2</v>
      </c>
      <c r="F17" s="193">
        <v>33.729999999999997</v>
      </c>
      <c r="G17" s="193">
        <f>F17*E17</f>
        <v>67.459999999999994</v>
      </c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</row>
    <row r="18" spans="1:27" ht="26.25" customHeight="1">
      <c r="A18" s="191">
        <v>3</v>
      </c>
      <c r="B18" s="192" t="s">
        <v>611</v>
      </c>
      <c r="C18" s="42" t="s">
        <v>472</v>
      </c>
      <c r="D18" s="42" t="s">
        <v>608</v>
      </c>
      <c r="E18" s="191">
        <v>1</v>
      </c>
      <c r="F18" s="193">
        <v>6.99</v>
      </c>
      <c r="G18" s="193">
        <f>F18*E18</f>
        <v>6.99</v>
      </c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</row>
    <row r="19" spans="1:27">
      <c r="A19" s="191">
        <v>4</v>
      </c>
      <c r="B19" s="192" t="s">
        <v>612</v>
      </c>
      <c r="C19" s="42" t="s">
        <v>587</v>
      </c>
      <c r="D19" s="42" t="s">
        <v>608</v>
      </c>
      <c r="E19" s="191">
        <v>4</v>
      </c>
      <c r="F19" s="193">
        <v>7.51</v>
      </c>
      <c r="G19" s="193">
        <f>F19*E19</f>
        <v>30.04</v>
      </c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</row>
    <row r="20" spans="1:27" ht="43.2">
      <c r="A20" s="191">
        <v>5</v>
      </c>
      <c r="B20" s="192" t="s">
        <v>613</v>
      </c>
      <c r="C20" s="42" t="s">
        <v>587</v>
      </c>
      <c r="D20" s="42" t="s">
        <v>608</v>
      </c>
      <c r="E20" s="191">
        <v>1</v>
      </c>
      <c r="F20" s="193">
        <v>55.44</v>
      </c>
      <c r="G20" s="193">
        <f>F20*E20</f>
        <v>55.44</v>
      </c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</row>
    <row r="21" spans="1:27">
      <c r="A21" s="264" t="s">
        <v>614</v>
      </c>
      <c r="B21" s="264"/>
      <c r="C21" s="264"/>
      <c r="D21" s="264"/>
      <c r="E21" s="264"/>
      <c r="F21" s="264"/>
      <c r="G21" s="231">
        <f>SUM(G16:G20)</f>
        <v>266.95</v>
      </c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</row>
    <row r="22" spans="1:27">
      <c r="A22" s="264" t="s">
        <v>615</v>
      </c>
      <c r="B22" s="264"/>
      <c r="C22" s="264"/>
      <c r="D22" s="264"/>
      <c r="E22" s="264"/>
      <c r="F22" s="264"/>
      <c r="G22" s="231">
        <f>ROUND(G21/12,2)</f>
        <v>22.25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</row>
    <row r="23" spans="1:27">
      <c r="A23" s="36"/>
      <c r="B23" s="36"/>
      <c r="C23" s="36"/>
      <c r="D23" s="36"/>
      <c r="E23" s="36"/>
      <c r="F23" s="222"/>
      <c r="G23" s="222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</row>
    <row r="24" spans="1:27">
      <c r="A24" s="258" t="s">
        <v>617</v>
      </c>
      <c r="B24" s="258"/>
      <c r="C24" s="258"/>
      <c r="D24" s="258"/>
      <c r="E24" s="258"/>
      <c r="F24" s="258"/>
      <c r="G24" s="258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</row>
    <row r="25" spans="1:27" ht="28.8">
      <c r="A25" s="188" t="s">
        <v>1</v>
      </c>
      <c r="B25" s="188" t="s">
        <v>2</v>
      </c>
      <c r="C25" s="188" t="s">
        <v>472</v>
      </c>
      <c r="D25" s="188" t="s">
        <v>605</v>
      </c>
      <c r="E25" s="187" t="s">
        <v>606</v>
      </c>
      <c r="F25" s="189" t="s">
        <v>474</v>
      </c>
      <c r="G25" s="190" t="s">
        <v>475</v>
      </c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</row>
    <row r="26" spans="1:27">
      <c r="A26" s="191">
        <v>1</v>
      </c>
      <c r="B26" s="192" t="s">
        <v>609</v>
      </c>
      <c r="C26" s="42" t="s">
        <v>472</v>
      </c>
      <c r="D26" s="42" t="s">
        <v>608</v>
      </c>
      <c r="E26" s="191">
        <v>2</v>
      </c>
      <c r="F26" s="193">
        <v>54.09</v>
      </c>
      <c r="G26" s="193">
        <f>F26*E26</f>
        <v>108.18</v>
      </c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</row>
    <row r="27" spans="1:27" ht="21.6" customHeight="1">
      <c r="A27" s="191">
        <v>2</v>
      </c>
      <c r="B27" s="192" t="s">
        <v>611</v>
      </c>
      <c r="C27" s="191" t="s">
        <v>472</v>
      </c>
      <c r="D27" s="191" t="s">
        <v>608</v>
      </c>
      <c r="E27" s="191">
        <v>1</v>
      </c>
      <c r="F27" s="193">
        <v>6.99</v>
      </c>
      <c r="G27" s="193">
        <f>F27*E27</f>
        <v>6.99</v>
      </c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</row>
    <row r="28" spans="1:27" ht="19.649999999999999" customHeight="1">
      <c r="A28" s="191">
        <v>3</v>
      </c>
      <c r="B28" s="232" t="s">
        <v>612</v>
      </c>
      <c r="C28" s="191" t="s">
        <v>587</v>
      </c>
      <c r="D28" s="191" t="s">
        <v>608</v>
      </c>
      <c r="E28" s="191">
        <v>4</v>
      </c>
      <c r="F28" s="193">
        <v>7.51</v>
      </c>
      <c r="G28" s="193">
        <f>F28*E28</f>
        <v>30.04</v>
      </c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</row>
    <row r="29" spans="1:27" ht="37.5" customHeight="1">
      <c r="A29" s="191">
        <v>4</v>
      </c>
      <c r="B29" s="192" t="s">
        <v>613</v>
      </c>
      <c r="C29" s="191" t="s">
        <v>587</v>
      </c>
      <c r="D29" s="191" t="s">
        <v>608</v>
      </c>
      <c r="E29" s="191">
        <v>1</v>
      </c>
      <c r="F29" s="193">
        <v>55.44</v>
      </c>
      <c r="G29" s="193">
        <f>F29*E29</f>
        <v>55.44</v>
      </c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</row>
    <row r="30" spans="1:27" ht="28.8">
      <c r="A30" s="191">
        <v>5</v>
      </c>
      <c r="B30" s="192" t="s">
        <v>618</v>
      </c>
      <c r="C30" s="191" t="s">
        <v>472</v>
      </c>
      <c r="D30" s="191" t="s">
        <v>608</v>
      </c>
      <c r="E30" s="191">
        <v>2</v>
      </c>
      <c r="F30" s="193">
        <v>37.119999999999997</v>
      </c>
      <c r="G30" s="193">
        <f>F30*E30</f>
        <v>74.239999999999995</v>
      </c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</row>
    <row r="31" spans="1:27">
      <c r="A31" s="264" t="s">
        <v>614</v>
      </c>
      <c r="B31" s="264"/>
      <c r="C31" s="264"/>
      <c r="D31" s="264"/>
      <c r="E31" s="264"/>
      <c r="F31" s="264"/>
      <c r="G31" s="231">
        <f>SUM(G26:G30)</f>
        <v>274.89</v>
      </c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</row>
    <row r="32" spans="1:27">
      <c r="A32" s="264" t="s">
        <v>615</v>
      </c>
      <c r="B32" s="264"/>
      <c r="C32" s="264"/>
      <c r="D32" s="264"/>
      <c r="E32" s="264"/>
      <c r="F32" s="264"/>
      <c r="G32" s="231">
        <f>ROUND(G31/12,2)</f>
        <v>22.91</v>
      </c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</row>
  </sheetData>
  <mergeCells count="10">
    <mergeCell ref="A21:F21"/>
    <mergeCell ref="A22:F22"/>
    <mergeCell ref="A24:G24"/>
    <mergeCell ref="A31:F31"/>
    <mergeCell ref="A32:F32"/>
    <mergeCell ref="A1:G1"/>
    <mergeCell ref="A3:G3"/>
    <mergeCell ref="A11:F11"/>
    <mergeCell ref="A12:F12"/>
    <mergeCell ref="A14:G14"/>
  </mergeCells>
  <pageMargins left="0.78749999999999998" right="0.78749999999999998" top="1.05277777777778" bottom="1.05277777777778" header="0" footer="0"/>
  <pageSetup paperSize="9" scale="75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QUADRO RESUMO</vt:lpstr>
      <vt:lpstr>PRODUTIVIDADE</vt:lpstr>
      <vt:lpstr>ENCARREGADO</vt:lpstr>
      <vt:lpstr>OPERADOR DE ROÇADEIRA</vt:lpstr>
      <vt:lpstr>SERV. INTERNO - PISOS </vt:lpstr>
      <vt:lpstr>SERV. INTERNO LABORATORIOS 20%</vt:lpstr>
      <vt:lpstr>SERV. INTERNO - ALMOXARIFADO</vt:lpstr>
      <vt:lpstr>SERV. INTERNO ALMOXARIFADO 20%</vt:lpstr>
      <vt:lpstr>SERV. INTERNO - SAGUÃO, HALL</vt:lpstr>
      <vt:lpstr>SERV. INTERNO BANHEIROS 40%</vt:lpstr>
      <vt:lpstr>SERV. EXTERNO - PISOS</vt:lpstr>
      <vt:lpstr>SERV. EXTERNO - VARRIÇÃO</vt:lpstr>
      <vt:lpstr>SERV. EXTERNO PÁTIOS ALTA FREQ.</vt:lpstr>
      <vt:lpstr>SERV. EXTERNO PÁTIOS BAIXA FREQ</vt:lpstr>
      <vt:lpstr>SERV. EXTERNO COLETA</vt:lpstr>
      <vt:lpstr>MATERIAIS</vt:lpstr>
      <vt:lpstr>FERRAMENTAS E EQUIPAMENTOS</vt:lpstr>
      <vt:lpstr>EPIS</vt:lpstr>
      <vt:lpstr>UNIFORMES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CPL Renato Pires</dc:creator>
  <dc:description/>
  <cp:lastModifiedBy>Valéria Pires</cp:lastModifiedBy>
  <cp:revision>16</cp:revision>
  <cp:lastPrinted>2024-12-13T09:29:59Z</cp:lastPrinted>
  <dcterms:created xsi:type="dcterms:W3CDTF">2023-05-30T10:38:00Z</dcterms:created>
  <dcterms:modified xsi:type="dcterms:W3CDTF">2025-01-27T14:23:25Z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0E0CAC84A6E047F1AE0E82E6EBC78D87</vt:lpwstr>
  </property>
  <property fmtid="{D5CDD505-2E9C-101B-9397-08002B2CF9AE}" pid="6" name="KSOProductBuildVer">
    <vt:lpwstr>1046-12.2.0.13266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