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8"/>
  </bookViews>
  <sheets>
    <sheet name="QUADRO RESUMO" sheetId="1" state="visible" r:id="rId3"/>
    <sheet name="PRODUTIVIDADE" sheetId="2" state="visible" r:id="rId4"/>
    <sheet name="ENCARREGADO" sheetId="3" state="visible" r:id="rId5"/>
    <sheet name="OPERADOR DE ROÇADEIRA" sheetId="4" state="visible" r:id="rId6"/>
    <sheet name="SERV. INTERNO - PISOS " sheetId="5" state="visible" r:id="rId7"/>
    <sheet name="SERV. INTERNO LABORATORIOS 20%" sheetId="6" state="visible" r:id="rId8"/>
    <sheet name="SERV. INTERNO - ALMOXARIFADO" sheetId="7" state="visible" r:id="rId9"/>
    <sheet name="SERV. INTERNO ALMOXARIFADO 20%" sheetId="8" state="visible" r:id="rId10"/>
    <sheet name="SERV. INTERNO - SAGUÃO, HALL" sheetId="9" state="visible" r:id="rId11"/>
    <sheet name="SERV. INTERNO BANHEIROS 40%" sheetId="10" state="visible" r:id="rId12"/>
    <sheet name="SERV. EXTERNO - PISOS" sheetId="11" state="visible" r:id="rId13"/>
    <sheet name="SERV. EXTERNO - VARRIÇÃO" sheetId="12" state="visible" r:id="rId14"/>
    <sheet name="SERV. EXTERNO PÁTIOS ALTA FREQ." sheetId="13" state="visible" r:id="rId15"/>
    <sheet name="SERV. EXTERNO PÁTIOS BAIXA FREQ" sheetId="14" state="visible" r:id="rId16"/>
    <sheet name="SERV. EXTERNO COLETA" sheetId="15" state="visible" r:id="rId17"/>
    <sheet name="MATERIAIS" sheetId="16" state="visible" r:id="rId18"/>
    <sheet name="FERRAMENTAS E EQUIPAMENTOS" sheetId="17" state="visible" r:id="rId19"/>
    <sheet name="EPIS" sheetId="18" state="visible" r:id="rId20"/>
    <sheet name="UNIFORMES" sheetId="19" state="visible" r:id="rId21"/>
  </sheets>
  <definedNames>
    <definedName function="false" hidden="false" name="Excel_BuiltIn_Print_Area_1_1" vbProcedure="false">"$#REF!.$A$1:$H$4"</definedName>
    <definedName function="false" hidden="false" name="Excel_BuiltIn_Print_Area_2_1" vbProcedure="false">!#REF!</definedName>
    <definedName function="false" hidden="false" name="Excel_BuiltIn_Print_Area_3_1" vbProcedure="false">"$#REF!.$B$1:$F$226"</definedName>
    <definedName function="false" hidden="false" name="Excel_BuiltIn_Print_Area_3_1_1" vbProcedure="false">"$#REF!.$B$1:$F$226"</definedName>
    <definedName function="false" hidden="false" name="Excel_BuiltIn_Print_Area_5_1" vbProcedure="false">"$#REF!.$B$1:$G$74"</definedName>
    <definedName function="false" hidden="false" name="Excel_BuiltIn_Print_Area_6" vbProcedure="false">!#REF!</definedName>
    <definedName function="false" hidden="false" name="Excel_BuiltIn_Print_Area_6_1" vbProcedure="false">!#REF!</definedName>
    <definedName function="false" hidden="false" name="Excel_BuiltIn_Print_Area_7" vbProcedure="false">"$#REF!.$A$1:$H$150"</definedName>
    <definedName function="false" hidden="false" name="MOT" vbProcedure="false">NA()</definedName>
    <definedName function="false" hidden="false" name="_1Excel_BuiltIn_Print_Area_5_1" vbProcedure="false">"$#REF!.$B$1:$G$74"</definedName>
    <definedName function="false" hidden="false" localSheetId="1" name="Excel_BuiltIn_Print_Area_2_1" vbProcedure="false">#REF!</definedName>
    <definedName function="false" hidden="false" localSheetId="1" name="Excel_BuiltIn_Print_Area_6" vbProcedure="false">#REF!</definedName>
    <definedName function="false" hidden="false" localSheetId="1" name="Excel_BuiltIn_Print_Area_6_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<sst xmlns="http://schemas.openxmlformats.org/spreadsheetml/2006/main" count="3664" uniqueCount="610">
  <si>
    <t xml:space="preserve">GRUPO 01 - Campus Amílcar Ferreira Sobral e Colégio Técnico de Floriano</t>
  </si>
  <si>
    <t xml:space="preserve">ITEM</t>
  </si>
  <si>
    <t xml:space="preserve">DESCRIÇÃO</t>
  </si>
  <si>
    <t xml:space="preserve">UNIDADE </t>
  </si>
  <si>
    <t xml:space="preserve">QUANTIDADE</t>
  </si>
  <si>
    <t xml:space="preserve">VALOR MENSAL </t>
  </si>
  <si>
    <t xml:space="preserve">VALOR TOTAL 
(6 meses)</t>
  </si>
  <si>
    <t xml:space="preserve">Prestação de serviço de limpeza, asseio e conservação das áreas internas e externas do Campus Amílcar Ferreira Sobral e Colégio Técnico de Floriano</t>
  </si>
  <si>
    <t xml:space="preserve">Serviço Mensal</t>
  </si>
  <si>
    <t xml:space="preserve">Operador de Roçadeira</t>
  </si>
  <si>
    <t xml:space="preserve">VALOR MÁXIMO ESTIMADO MENSAL</t>
  </si>
  <si>
    <t xml:space="preserve">VALOR MÁXIMO ESTIMADO para 6 MESES</t>
  </si>
  <si>
    <t xml:space="preserve"> OBSERVAÇÃO: * Segundo o MTE a caracterização e classificação da insalubridade e da periculosidade, devem ser feitas através de perícia do Médico ou Engenheiro do Trabalho. (Art. 195 CLT).</t>
  </si>
  <si>
    <t xml:space="preserve">ANEXO I - Complemento dos Serviços de Limpeza e Conservação</t>
  </si>
  <si>
    <t xml:space="preserve">PREÇO MENSAL UNITÁRIO POR M²</t>
  </si>
  <si>
    <t xml:space="preserve">ÁREA INTERNA - PISOS ACARPETADOS</t>
  </si>
  <si>
    <t xml:space="preserve">MÃO DE OBRA</t>
  </si>
  <si>
    <t xml:space="preserve">(1)
PRODUTIVIDADE
(1/m²)</t>
  </si>
  <si>
    <t xml:space="preserve">(2)
PREÇO HOMEM-MÊS
(R$)</t>
  </si>
  <si>
    <t xml:space="preserve">(1 X 2)
SUB-TOTAL
(R$/m²)</t>
  </si>
  <si>
    <t xml:space="preserve">Encarregado</t>
  </si>
  <si>
    <t xml:space="preserve">(30** x 1200*)</t>
  </si>
  <si>
    <t xml:space="preserve">Servente</t>
  </si>
  <si>
    <t xml:space="preserve">ÁREA INTERNA - LABORATÓRIOS (INSALUBRIDADE 20%)</t>
  </si>
  <si>
    <t xml:space="preserve">(30** x 450*)</t>
  </si>
  <si>
    <t xml:space="preserve">Servente (Insalubridade 20%)</t>
  </si>
  <si>
    <t xml:space="preserve">ÁREA INTERNA - ALMOXARIFADOS E GALPÕES</t>
  </si>
  <si>
    <t xml:space="preserve">(30** x 1500*)</t>
  </si>
  <si>
    <t xml:space="preserve">ÁREA INTERNA - ALMOXARIFADOS E GALPÕES (Insalubridade 20%)</t>
  </si>
  <si>
    <t xml:space="preserve">ÁREA INTERNA - EPAÇOS LIVRES, SAGUÃO, HALL E SALÃO</t>
  </si>
  <si>
    <t xml:space="preserve">ÁREA INTERNA - BANHEIROS (Insalubridade 40%)</t>
  </si>
  <si>
    <t xml:space="preserve">(30** x 200*)</t>
  </si>
  <si>
    <t xml:space="preserve">Servente (Insalubridade 40%)</t>
  </si>
  <si>
    <t xml:space="preserve"> </t>
  </si>
  <si>
    <t xml:space="preserve">ÁREA EXTERNA - PISOS PAVIMENTADOS ADJACENTES</t>
  </si>
  <si>
    <t xml:space="preserve">(30** x 1800*)</t>
  </si>
  <si>
    <t xml:space="preserve">ÁREA EXTERNA - VARRIÇÃO DE PASSEIOS E ARRUAMENTOS</t>
  </si>
  <si>
    <t xml:space="preserve">(30** x 6000*)</t>
  </si>
  <si>
    <t xml:space="preserve">ÁREA EXTERNA - PÁTIOS E ÁREAS VERDES COM ALTA FREQUÊNCIA</t>
  </si>
  <si>
    <t xml:space="preserve">ÁREA EXTERNA - PÁTIOS E ÁREAS VERDES COM MÉDIA/BAIXA FREQUÊNCIA</t>
  </si>
  <si>
    <t xml:space="preserve">(30** x 2700*)</t>
  </si>
  <si>
    <t xml:space="preserve">ÁREA EXTERNA - COLETA DE DETRITOS</t>
  </si>
  <si>
    <t xml:space="preserve">(30** x 100000*)</t>
  </si>
  <si>
    <t xml:space="preserve">VALOR MENSAL E ANUAL DO SERVIÇO (R$)</t>
  </si>
  <si>
    <t xml:space="preserve">TIPO DE ÁREA
</t>
  </si>
  <si>
    <t xml:space="preserve">PREÇO MENSAL UNITÁRIO
(R$/m²)</t>
  </si>
  <si>
    <t xml:space="preserve">ÁREA
(m²)</t>
  </si>
  <si>
    <t xml:space="preserve">SUB-TOTAL
(R$)</t>
  </si>
  <si>
    <t xml:space="preserve">ENCARREGADO</t>
  </si>
  <si>
    <t xml:space="preserve">SERVENTE</t>
  </si>
  <si>
    <t xml:space="preserve">ÁREA INTERNA - LABORATÓRIOS (INSALUBRIDADE GRAU MÉDIO/20%)</t>
  </si>
  <si>
    <t xml:space="preserve">ÁREA INTERNA - ALMOXARIFADOS E GALPÕES (INSALUBRIDADE GRAU MÉDIO/20%)</t>
  </si>
  <si>
    <t xml:space="preserve">ÁREA INTERNA - ESPAÇOS LIVRES, SAGUÃO, HALL E SALÃO</t>
  </si>
  <si>
    <t xml:space="preserve">ÁREA INTERNA - BANHEIROS (INSALUBRIDADE GRAU MÁXIMO/40%)</t>
  </si>
  <si>
    <t xml:space="preserve">ÁREA EXTERNA - PISOS PAVIMENTADOS</t>
  </si>
  <si>
    <t xml:space="preserve">ÁREA EXTERNA - VARRIÇÃO DE PASSEIOS</t>
  </si>
  <si>
    <t xml:space="preserve">ÁREA EXTERNA - PÁTIOS E ÁREAS EXTERNA COM MÉDIA/BAIXA FREQUÊNCIA</t>
  </si>
  <si>
    <t xml:space="preserve">VALOR ESTIMADO MENSAL</t>
  </si>
  <si>
    <t xml:space="preserve">VALOR ESTIMADO SEMESTRAL</t>
  </si>
  <si>
    <t xml:space="preserve">QUANTIDADE ESTIMADA DE FUNCIONÁRIOS</t>
  </si>
  <si>
    <t xml:space="preserve">TIPO DE ÁREAS ESTIMADAS (IN 5/2017)</t>
  </si>
  <si>
    <t xml:space="preserve">METRAGEM (m²) (A)</t>
  </si>
  <si>
    <t xml:space="preserve">Frequência de limpeza/ mês
(B)</t>
  </si>
  <si>
    <t xml:space="preserve">Metragem limpa/ mês
(C) = (A)X(B)</t>
  </si>
  <si>
    <t xml:space="preserve">Metragem limpa/dia
(D)=(C)/22</t>
  </si>
  <si>
    <t xml:space="preserve">Nº de postos necessários
(F)=(D)/produtividade adotada</t>
  </si>
  <si>
    <t xml:space="preserve">1</t>
  </si>
  <si>
    <t xml:space="preserve">INTERNAS</t>
  </si>
  <si>
    <t xml:space="preserve">1.1</t>
  </si>
  <si>
    <t xml:space="preserve">Pisos acarpetados/ frios: 800-1200² (cf. Anexo VI-B, item 3.1, alínea “a” e “b” da IN nº 5/2017). Produtividade adotada: 1200m²</t>
  </si>
  <si>
    <t xml:space="preserve">CAMPUS AMÍLCAR FERREIRA SOBRAL</t>
  </si>
  <si>
    <t xml:space="preserve">1.1.1</t>
  </si>
  <si>
    <t xml:space="preserve">Salas de aula Pavimento Térreo</t>
  </si>
  <si>
    <t xml:space="preserve">1.1.2</t>
  </si>
  <si>
    <t xml:space="preserve">Salas Administrativas Pavimento Térreo</t>
  </si>
  <si>
    <t xml:space="preserve">1.1.3</t>
  </si>
  <si>
    <t xml:space="preserve">Salas de aula Pavimento Superior</t>
  </si>
  <si>
    <t xml:space="preserve">1.1.4</t>
  </si>
  <si>
    <t xml:space="preserve">Salas Administrativas Pavimento Superior</t>
  </si>
  <si>
    <t xml:space="preserve">1.1.5</t>
  </si>
  <si>
    <t xml:space="preserve">Biblioteca</t>
  </si>
  <si>
    <t xml:space="preserve">1.1.6</t>
  </si>
  <si>
    <t xml:space="preserve">Laboratório de informatica, brinquedoteca, Liberte (lab de artes), residencia pedagógica, mini auditório</t>
  </si>
  <si>
    <t xml:space="preserve">Auditório</t>
  </si>
  <si>
    <t xml:space="preserve">Loja conceito e salas da administração</t>
  </si>
  <si>
    <t xml:space="preserve">Gabinetes dos professores</t>
  </si>
  <si>
    <t xml:space="preserve">COLÉGIO TÉCNICO DE FLORIANO</t>
  </si>
  <si>
    <t xml:space="preserve">1.1.8</t>
  </si>
  <si>
    <t xml:space="preserve">Salas de aula</t>
  </si>
  <si>
    <t xml:space="preserve">1.1.9</t>
  </si>
  <si>
    <t xml:space="preserve">Salas administrativas</t>
  </si>
  <si>
    <t xml:space="preserve">1.1.10</t>
  </si>
  <si>
    <t xml:space="preserve">FAZENDA EXPERIMENTAL NOVO RECREIO - ÁREA 1</t>
  </si>
  <si>
    <t xml:space="preserve">1.1.11</t>
  </si>
  <si>
    <t xml:space="preserve">Sala de Aula</t>
  </si>
  <si>
    <t xml:space="preserve">1.1.12</t>
  </si>
  <si>
    <t xml:space="preserve">Bloco da copa do Laboratório agroindustrial</t>
  </si>
  <si>
    <t xml:space="preserve">FAZENDA EXPERIMENTAL NOVO RECREIO - ÁREA 2</t>
  </si>
  <si>
    <t xml:space="preserve">1.1.13</t>
  </si>
  <si>
    <t xml:space="preserve">Vacaria</t>
  </si>
  <si>
    <t xml:space="preserve">ÁREAS DE USO COMUM CAFS/ CTF</t>
  </si>
  <si>
    <t xml:space="preserve">1.1.14</t>
  </si>
  <si>
    <t xml:space="preserve">Refeitório/ RU</t>
  </si>
  <si>
    <t xml:space="preserve">1.1.15</t>
  </si>
  <si>
    <t xml:space="preserve">Cozinha/ RU</t>
  </si>
  <si>
    <t xml:space="preserve">1.1.16</t>
  </si>
  <si>
    <t xml:space="preserve">Administrativo/ RU</t>
  </si>
  <si>
    <t xml:space="preserve">1.1.17</t>
  </si>
  <si>
    <t xml:space="preserve">Administrativo, alojamento/ Garagem</t>
  </si>
  <si>
    <t xml:space="preserve">1.1.18</t>
  </si>
  <si>
    <t xml:space="preserve">Guarita Vigilância</t>
  </si>
  <si>
    <t xml:space="preserve">1.1.19</t>
  </si>
  <si>
    <t xml:space="preserve">Residência Universitária</t>
  </si>
  <si>
    <t xml:space="preserve">1.2</t>
  </si>
  <si>
    <t xml:space="preserve">Laboratórios: 360-450m² (cf. Anexo VI-B, item 3.1, alínea “c” da IN nº 5/2017). Produtividade adotada: 450m² - FAZ JUS INSALUBRIDADE GRAU MÉDIO (20%)</t>
  </si>
  <si>
    <t xml:space="preserve">1.2.1</t>
  </si>
  <si>
    <t xml:space="preserve">Laboratórios de Biologia, Enfermagem e Ledoc – CAFS</t>
  </si>
  <si>
    <t xml:space="preserve">1.2.2</t>
  </si>
  <si>
    <t xml:space="preserve">Laboratório de produção da Administração</t>
  </si>
  <si>
    <t xml:space="preserve">1.2.3</t>
  </si>
  <si>
    <t xml:space="preserve">Lixeira para Descarte de resíduos laboratoriais</t>
  </si>
  <si>
    <t xml:space="preserve">1.2.4</t>
  </si>
  <si>
    <t xml:space="preserve">Laboratórios de enfermagem e solo</t>
  </si>
  <si>
    <t xml:space="preserve">1.2.5</t>
  </si>
  <si>
    <t xml:space="preserve">Lixeira proxima a BR</t>
  </si>
  <si>
    <t xml:space="preserve">1.2.6</t>
  </si>
  <si>
    <t xml:space="preserve">Laboratório de pisicultura</t>
  </si>
  <si>
    <t xml:space="preserve">1.2.7</t>
  </si>
  <si>
    <t xml:space="preserve">Laboratório agroindustrial</t>
  </si>
  <si>
    <t xml:space="preserve">1.2.8</t>
  </si>
  <si>
    <t xml:space="preserve">Casa do Mel</t>
  </si>
  <si>
    <t xml:space="preserve">1.2.9</t>
  </si>
  <si>
    <t xml:space="preserve">Câmara Fria/RU</t>
  </si>
  <si>
    <t xml:space="preserve">1.2.10</t>
  </si>
  <si>
    <t xml:space="preserve">Consultório Odontológico/Residencia Universitária</t>
  </si>
  <si>
    <t xml:space="preserve">1.2.11</t>
  </si>
  <si>
    <t xml:space="preserve">Lixeira/RU</t>
  </si>
  <si>
    <t xml:space="preserve">1.3</t>
  </si>
  <si>
    <t xml:space="preserve">Almoxarifados e galpões: 1500-2500m² (cf. Anexo VI-B, item 3.1, alínea “d” da IN nº 5/2017). Produtividade adotada: 1500m² </t>
  </si>
  <si>
    <t xml:space="preserve">1.3.1</t>
  </si>
  <si>
    <t xml:space="preserve">Almoxarifado</t>
  </si>
  <si>
    <t xml:space="preserve">1.3.2</t>
  </si>
  <si>
    <t xml:space="preserve">Depósitos</t>
  </si>
  <si>
    <t xml:space="preserve">1.3.3</t>
  </si>
  <si>
    <t xml:space="preserve">1.3.4</t>
  </si>
  <si>
    <t xml:space="preserve">Depósito (Alojamento Estudantil)</t>
  </si>
  <si>
    <t xml:space="preserve">1.3.5</t>
  </si>
  <si>
    <t xml:space="preserve">Garagem de Maquinas Agricolas</t>
  </si>
  <si>
    <t xml:space="preserve">1.3.6</t>
  </si>
  <si>
    <t xml:space="preserve">Almoxarifado/ Garagem</t>
  </si>
  <si>
    <t xml:space="preserve">1.3.7</t>
  </si>
  <si>
    <t xml:space="preserve">Almoxarifado/ RU</t>
  </si>
  <si>
    <t xml:space="preserve">1.4</t>
  </si>
  <si>
    <t xml:space="preserve">Almoxarifados e galpões: 1500-2500m² (cf. Anexo VI-B, item 3.1, alínea “d” da IN nº 5/2017). Produtividade adotada: 1500m² - FAZ JUS INSALUBRIDADE GRAU MÉDIO (20%)</t>
  </si>
  <si>
    <t xml:space="preserve">1.4.1</t>
  </si>
  <si>
    <t xml:space="preserve">Avicultura de Corte (4 Unidades)</t>
  </si>
  <si>
    <t xml:space="preserve">1.4.2</t>
  </si>
  <si>
    <t xml:space="preserve">Avicultura de posturas (2 Unidades)</t>
  </si>
  <si>
    <t xml:space="preserve">1.4.3</t>
  </si>
  <si>
    <t xml:space="preserve">Abatedouro de frango</t>
  </si>
  <si>
    <t xml:space="preserve">1.4.4</t>
  </si>
  <si>
    <t xml:space="preserve">Almoxarifado/ Galpão de Materiais e Ferramentas</t>
  </si>
  <si>
    <t xml:space="preserve">1.4.5</t>
  </si>
  <si>
    <t xml:space="preserve">Área proxima dos tanques de peixes</t>
  </si>
  <si>
    <t xml:space="preserve">1.4.6</t>
  </si>
  <si>
    <t xml:space="preserve">Suinocultura</t>
  </si>
  <si>
    <t xml:space="preserve">1.4.7</t>
  </si>
  <si>
    <t xml:space="preserve">1.5</t>
  </si>
  <si>
    <t xml:space="preserve">Áreas com espaços livres-saguão, hall e salão: 1000-1500m² (cf. Anexo VI-B, item 3.1, alínea “f” da IN nº 5/2017). Produtividade adotada: 1500m²</t>
  </si>
  <si>
    <t xml:space="preserve">1.5.1</t>
  </si>
  <si>
    <t xml:space="preserve">Passarelas, corredores, pavimento térreo</t>
  </si>
  <si>
    <t xml:space="preserve">1.5.2</t>
  </si>
  <si>
    <t xml:space="preserve">Passarelas, corredores, escadas rampas pavimento superior</t>
  </si>
  <si>
    <t xml:space="preserve">1.5.3</t>
  </si>
  <si>
    <t xml:space="preserve">Hall/Auditório</t>
  </si>
  <si>
    <t xml:space="preserve">1.5.4</t>
  </si>
  <si>
    <t xml:space="preserve">Corredores/Gabinete dos professores</t>
  </si>
  <si>
    <t xml:space="preserve">1.5.5</t>
  </si>
  <si>
    <t xml:space="preserve">Corredores/Loja Conceito e Lab. de produção</t>
  </si>
  <si>
    <t xml:space="preserve">1.5.6</t>
  </si>
  <si>
    <t xml:space="preserve">Hall, corredores, saguão</t>
  </si>
  <si>
    <t xml:space="preserve">1.5.7</t>
  </si>
  <si>
    <t xml:space="preserve">Quadra poliesportiva</t>
  </si>
  <si>
    <t xml:space="preserve">1.5.8</t>
  </si>
  <si>
    <t xml:space="preserve">Hall/ RU</t>
  </si>
  <si>
    <t xml:space="preserve">1.5.9</t>
  </si>
  <si>
    <t xml:space="preserve">Garagem</t>
  </si>
  <si>
    <t xml:space="preserve">1.6</t>
  </si>
  <si>
    <t xml:space="preserve">Banheiros: 200-300m² (cf. Anexo VI-B, item 3.1, alínea “g” da IN nº 5/2017). Produtividade adotada: 200m² - FAZ JUZ INSABLUBRIDADE GRAU MÁXIMO (40%) - SÚMULA 448 TST</t>
  </si>
  <si>
    <t xml:space="preserve">1.6.1</t>
  </si>
  <si>
    <t xml:space="preserve">Bloco do setor Administrativo, salas de aula e laboratórios Pavimento térreo</t>
  </si>
  <si>
    <t xml:space="preserve">1.6.2</t>
  </si>
  <si>
    <t xml:space="preserve">Bloco da Biblioteca, salas de aula e laboratórios Pavimento Superior</t>
  </si>
  <si>
    <t xml:space="preserve">1.6.3</t>
  </si>
  <si>
    <t xml:space="preserve">1.6.4</t>
  </si>
  <si>
    <t xml:space="preserve">Loja conceito e Lab de Produção</t>
  </si>
  <si>
    <t xml:space="preserve">1.6.5</t>
  </si>
  <si>
    <t xml:space="preserve">1.6.6</t>
  </si>
  <si>
    <t xml:space="preserve">Salas de aula, administrativos e outros</t>
  </si>
  <si>
    <t xml:space="preserve">1.6.7</t>
  </si>
  <si>
    <t xml:space="preserve">1.6.8</t>
  </si>
  <si>
    <t xml:space="preserve">1.6.9</t>
  </si>
  <si>
    <t xml:space="preserve">1.6.10</t>
  </si>
  <si>
    <t xml:space="preserve">1.6.11</t>
  </si>
  <si>
    <t xml:space="preserve">1.6.12</t>
  </si>
  <si>
    <t xml:space="preserve">1.6.13</t>
  </si>
  <si>
    <t xml:space="preserve">1.6.14</t>
  </si>
  <si>
    <t xml:space="preserve">1.6.15</t>
  </si>
  <si>
    <t xml:space="preserve">Cozinha, refeitório e outros/ RU</t>
  </si>
  <si>
    <t xml:space="preserve">1.6.16</t>
  </si>
  <si>
    <t xml:space="preserve">Guarita</t>
  </si>
  <si>
    <t xml:space="preserve">2</t>
  </si>
  <si>
    <t xml:space="preserve">ÁREAS EXTERNAS</t>
  </si>
  <si>
    <t xml:space="preserve">2.1</t>
  </si>
  <si>
    <t xml:space="preserve">Pisos pavimentados adjacentes/contíguos às edificações: 1800-2700m² (Anexo VI-B, item 3.2, alínea “a” IN nº 5/2017). Produtividade adotada: 1800m²</t>
  </si>
  <si>
    <t xml:space="preserve">2.1.1</t>
  </si>
  <si>
    <t xml:space="preserve">Calçadas adjacentes às edificações CAFS</t>
  </si>
  <si>
    <t xml:space="preserve">2.1.2</t>
  </si>
  <si>
    <t xml:space="preserve">Calçadas adjacentes às edificações Gabinete de Professores</t>
  </si>
  <si>
    <t xml:space="preserve">2.1.3</t>
  </si>
  <si>
    <t xml:space="preserve">Calçadas adjacentes às edificações Loja Conceito e Lab de Produção</t>
  </si>
  <si>
    <t xml:space="preserve">2.1.4</t>
  </si>
  <si>
    <t xml:space="preserve">Calçadas adjacentes às edificações</t>
  </si>
  <si>
    <t xml:space="preserve">2.1.5</t>
  </si>
  <si>
    <t xml:space="preserve">Calçadas adjacentes às edificações Sala de aula</t>
  </si>
  <si>
    <t xml:space="preserve">2.1.6</t>
  </si>
  <si>
    <t xml:space="preserve">Calçadas adjacentes às edificações Laboratório agroindustrial</t>
  </si>
  <si>
    <t xml:space="preserve">2.1.7</t>
  </si>
  <si>
    <t xml:space="preserve">Calçadas adjacentes às edificações Casa do Mel</t>
  </si>
  <si>
    <t xml:space="preserve">2.1.8</t>
  </si>
  <si>
    <t xml:space="preserve">Calçadas adjacentes às edificações Almoxarifado/Garagem de Maquinas Agricolas</t>
  </si>
  <si>
    <t xml:space="preserve">2.1.9</t>
  </si>
  <si>
    <t xml:space="preserve">Calçadas adjacentes às edificações - tanques psicultura</t>
  </si>
  <si>
    <t xml:space="preserve">2.1.10</t>
  </si>
  <si>
    <t xml:space="preserve">Calçadas adjacentes às edificações - laboratório da piscicultura</t>
  </si>
  <si>
    <t xml:space="preserve">2.1.11</t>
  </si>
  <si>
    <t xml:space="preserve">Calçadas adjacentes às edificações - Vacaria</t>
  </si>
  <si>
    <t xml:space="preserve">2.1.12</t>
  </si>
  <si>
    <t xml:space="preserve">Calçadas adjacentes às edificações/ RU</t>
  </si>
  <si>
    <t xml:space="preserve">2.1.13</t>
  </si>
  <si>
    <t xml:space="preserve">Calçadas adjacentes às edificações/ Garagem</t>
  </si>
  <si>
    <t xml:space="preserve">2.1.14</t>
  </si>
  <si>
    <t xml:space="preserve">Calçadas adjacentes às edificações/ Residência</t>
  </si>
  <si>
    <t xml:space="preserve">2.2</t>
  </si>
  <si>
    <t xml:space="preserve">Varrição de passeios e arruamentos: 6000-9000m² (Anexo VI-B, item 3.2, alínea “b” IN nº 5/2017). Produtividade adotada: 6000m²</t>
  </si>
  <si>
    <t xml:space="preserve">2.2.1</t>
  </si>
  <si>
    <t xml:space="preserve">Passeios e estacionamentos/ Prédio Principal</t>
  </si>
  <si>
    <t xml:space="preserve">2.2.2</t>
  </si>
  <si>
    <t xml:space="preserve">Passeios e estacionamentos/ Restaurante</t>
  </si>
  <si>
    <t xml:space="preserve">2.2.3</t>
  </si>
  <si>
    <t xml:space="preserve">Passeios e estacionamentos/ Gabinete dos professores</t>
  </si>
  <si>
    <t xml:space="preserve">2.2.4</t>
  </si>
  <si>
    <t xml:space="preserve">Passeios e estacionamentos/ Loja Conceito</t>
  </si>
  <si>
    <t xml:space="preserve">2.2.5</t>
  </si>
  <si>
    <t xml:space="preserve">Passeios e estacionamentos</t>
  </si>
  <si>
    <t xml:space="preserve">2.3</t>
  </si>
  <si>
    <t xml:space="preserve">Pátios e áreas verdes com alta frequência: 1800-2700m²  (Anexo VI-B, item 3.2, alínea “d” IN nº 5/2017). Produtividade adotada: 1800m²</t>
  </si>
  <si>
    <t xml:space="preserve">2.3.1</t>
  </si>
  <si>
    <t xml:space="preserve">Pátio Prédio Principal</t>
  </si>
  <si>
    <t xml:space="preserve">2.3.2</t>
  </si>
  <si>
    <t xml:space="preserve">Jardim proximo ao RU</t>
  </si>
  <si>
    <t xml:space="preserve">2.3.3</t>
  </si>
  <si>
    <t xml:space="preserve">Jardim proximo ao Gabinete de Professores</t>
  </si>
  <si>
    <t xml:space="preserve">2.3.4</t>
  </si>
  <si>
    <t xml:space="preserve">2.3.5</t>
  </si>
  <si>
    <t xml:space="preserve">Pátio Laboratório agroindustrial</t>
  </si>
  <si>
    <t xml:space="preserve">2.3.6</t>
  </si>
  <si>
    <t xml:space="preserve">Jardins Laboratório agroindustrial</t>
  </si>
  <si>
    <t xml:space="preserve">2.3.7</t>
  </si>
  <si>
    <t xml:space="preserve">Pátio da Vacaria</t>
  </si>
  <si>
    <t xml:space="preserve">2.4</t>
  </si>
  <si>
    <t xml:space="preserve">Pátio e áreas verdes com média/ baixa frequência: 1800-2700m² (cf. Anexo VI-B, Item 3.2, alínea "e" IN nº 5/2017). Produtividade adotada: 2700m²</t>
  </si>
  <si>
    <t xml:space="preserve">2.4.1</t>
  </si>
  <si>
    <t xml:space="preserve">Arredores Prédio Principal - Executado a cada 3 meses</t>
  </si>
  <si>
    <t xml:space="preserve">2.4.2</t>
  </si>
  <si>
    <t xml:space="preserve">Arredores Gabinete dos Professores - Executado a cada 3 meses</t>
  </si>
  <si>
    <t xml:space="preserve">Arredores do Prédio Principal - Executado a cada 3 meses</t>
  </si>
  <si>
    <t xml:space="preserve">2.4.3</t>
  </si>
  <si>
    <t xml:space="preserve">Arredores da quadra Poliesportiva</t>
  </si>
  <si>
    <t xml:space="preserve">2.4.4</t>
  </si>
  <si>
    <t xml:space="preserve">Campo de futebol</t>
  </si>
  <si>
    <t xml:space="preserve">2.4.5</t>
  </si>
  <si>
    <t xml:space="preserve">Arredores do campo de futebol</t>
  </si>
  <si>
    <t xml:space="preserve">2.4.6</t>
  </si>
  <si>
    <t xml:space="preserve">Arredores dos Prédios (laboratórios, galpões, agoindustria, psicultura, outros) - Executado a cada 1 meses</t>
  </si>
  <si>
    <t xml:space="preserve">2.4.7</t>
  </si>
  <si>
    <t xml:space="preserve">Caminho até a bomba d'agua - Executado a cada 3 meses</t>
  </si>
  <si>
    <t xml:space="preserve">2.4.8</t>
  </si>
  <si>
    <t xml:space="preserve">Ao redor do Viveiro -  Executado a cada 6 meses</t>
  </si>
  <si>
    <t xml:space="preserve">2.4.9</t>
  </si>
  <si>
    <t xml:space="preserve">Arredores dos Prédios (suinocultura, vacaria e apriscos - Executado a cada 1 meses</t>
  </si>
  <si>
    <t xml:space="preserve">2.4.10</t>
  </si>
  <si>
    <t xml:space="preserve">Arredores da Caixa d'água, ETE, RU, Loja Conceito, Residência e Alojamento Estudantil - Executado a cada 3 meses</t>
  </si>
  <si>
    <t xml:space="preserve">2.4.11</t>
  </si>
  <si>
    <t xml:space="preserve">Arredores da Garagem - Excutado a cada 3 meses</t>
  </si>
  <si>
    <t xml:space="preserve">2.4.12</t>
  </si>
  <si>
    <t xml:space="preserve">Arredores da Rua Principal - Executado a cada 3 meses</t>
  </si>
  <si>
    <t xml:space="preserve">2.5</t>
  </si>
  <si>
    <t xml:space="preserve">Coleta de detritos em pátios e áreas verdes com frequência diária: 100.000 m2. (cf. Anexo VI-B, item 3.2, alínea “f” IN nº 5/2017). Produtividade adotada: 100.000m²</t>
  </si>
  <si>
    <t xml:space="preserve">2.5.1</t>
  </si>
  <si>
    <t xml:space="preserve">Ruas gerais, passeio das ruas</t>
  </si>
  <si>
    <t xml:space="preserve">-</t>
  </si>
  <si>
    <t xml:space="preserve">TOTAL ESTIMADO DE SERVENTES</t>
  </si>
  <si>
    <t xml:space="preserve">TOTAL ESTIMADO DE ENCARREGADO</t>
  </si>
  <si>
    <t xml:space="preserve">OBSERVAÇÕES:</t>
  </si>
  <si>
    <r>
      <rPr>
        <b val="true"/>
        <sz val="10"/>
        <rFont val="Arial"/>
        <family val="0"/>
        <charset val="134"/>
      </rPr>
      <t xml:space="preserve">O valor do metro quadrado nas áreas internas e externas do servente de limpeza é resultado da seguinte operação</t>
    </r>
    <r>
      <rPr>
        <b val="true"/>
        <sz val="10"/>
        <color rgb="FFFF0000"/>
        <rFont val="Arial"/>
        <family val="0"/>
        <charset val="134"/>
      </rPr>
      <t xml:space="preserve">:  = (1/produtividade adotada na área) X Preço Homem-mês.</t>
    </r>
  </si>
  <si>
    <r>
      <rPr>
        <b val="true"/>
        <sz val="10"/>
        <rFont val="Arial"/>
        <family val="0"/>
        <charset val="134"/>
      </rPr>
      <t xml:space="preserve">O valor do metro quadrado nas áreas internas e externas do encarregado é resultado da seguinte operação</t>
    </r>
    <r>
      <rPr>
        <b val="true"/>
        <sz val="10"/>
        <color rgb="FFFF0000"/>
        <rFont val="Arial"/>
        <family val="0"/>
        <charset val="134"/>
      </rPr>
      <t xml:space="preserve">:  = (Preço Homem-mês/(30 X Produtividade da área).</t>
    </r>
  </si>
  <si>
    <t xml:space="preserve">Para chegar no valor mensal do serviço, adotou-se o seguinte procedimento:</t>
  </si>
  <si>
    <t xml:space="preserve">Multiplicou-se o preço mensal unitário do metro quadrado pela quantidade da área a ser limpa. Depois somou-se o valor mensal de cada área, chegando assim no valor estimado mensal e valor estimado semestral.</t>
  </si>
  <si>
    <t xml:space="preserve">A realização do cálculo para estimar a quantidade de serventes foi realizada em 4 partes: na primeira, dividiu-se a quantidade da respectiva área física a ser limpa pela produtividade adotada. Na segunda, somou-se o resultado de todas as áreas físicas internas e,  como a soma gerou duas casas decimais, o resultado foi arredondado para baixo porque o algarismo na casa condição é menor que 5. Na terceira, somou-se o resultado de todas as áreas físicas externas e,  como a soma gerou duas casas decimais, o resultado foi arredondado para baixo porque o algarismo na casa condição é menor que 5. Por fim, foi realizada a soma do total das áreas físicas internas e externas, chegando assim no total estimado de serventes.</t>
  </si>
  <si>
    <t xml:space="preserve">Para estimar a quantidade de encarregado dividiu-se a quantidade de serventes estimada por 30.  Como a divisão gerou duas casas decimais, o resultado foi arredondado para baixo porque o algarismo na casa condição é menor que 5.</t>
  </si>
  <si>
    <t xml:space="preserve">Para a realização dos cálculos acima observou-se o disposto  nos itens 6. (Complemento dos Serviços de Limpeza e Conservação) e 7. (Valor Mensal dos Serviços), contidos no Anexo VII-D (Modelo de Planilha de Custos e Formação de Preços) da IN 05/2017.</t>
  </si>
  <si>
    <t xml:space="preserve">Categoria profissional: ENCARREGADO DE TURMA DE LIMPEZA - 44 HORAS</t>
  </si>
  <si>
    <t xml:space="preserve">Nº do Processo</t>
  </si>
  <si>
    <t xml:space="preserve">23111.043918/2024-90</t>
  </si>
  <si>
    <t xml:space="preserve">Discriminação dos Serviços</t>
  </si>
  <si>
    <t xml:space="preserve">A</t>
  </si>
  <si>
    <t xml:space="preserve">Data de apresentação da proposta</t>
  </si>
  <si>
    <t xml:space="preserve">B</t>
  </si>
  <si>
    <t xml:space="preserve">Município</t>
  </si>
  <si>
    <t xml:space="preserve">FLORIANO-PI</t>
  </si>
  <si>
    <t xml:space="preserve">C</t>
  </si>
  <si>
    <t xml:space="preserve">Ano do Acordo, Convenção ou Dissídio Coletivo</t>
  </si>
  <si>
    <t xml:space="preserve">PI000114/2024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</si>
  <si>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</si>
  <si>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</si>
  <si>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</si>
  <si>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</si>
  <si>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</si>
  <si>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Quantidade estimada a contratar (em função da unidade de medida)</t>
  </si>
  <si>
    <t xml:space="preserve">Limpeza e Conserv.</t>
  </si>
  <si>
    <t xml:space="preserve">Posto</t>
  </si>
  <si>
    <t xml:space="preserve">Dados para composição dos custos referentes à mão-de-obra</t>
  </si>
  <si>
    <t xml:space="preserve">Tipo de serviço (mesmo serviço com características distintas)</t>
  </si>
  <si>
    <t xml:space="preserve">ENCARREGADO DE TURMA DE LIMPEZA</t>
  </si>
  <si>
    <t xml:space="preserve">Classificação Brasileira de Ocupações (CBO)</t>
  </si>
  <si>
    <t xml:space="preserve">4101-05</t>
  </si>
  <si>
    <t xml:space="preserve">Salário Nominativo da Categoria Profissional</t>
  </si>
  <si>
    <t xml:space="preserve">Categoria profissional (vinculada à execução contratual)</t>
  </si>
  <si>
    <t xml:space="preserve">SINDICATO DAS EMPRESAS DE ASSEIO E CONSERVACAO DO ESTADO DO PIAUI</t>
  </si>
  <si>
    <t xml:space="preserve">Data base da categoria (dia/mês/ano)</t>
  </si>
  <si>
    <t xml:space="preserve">1º janeiro de 2024</t>
  </si>
  <si>
    <t xml:space="preserve">MÓDULO 1 - COMPOSIÇÃO DA REMUNERAÇÃO</t>
  </si>
  <si>
    <t xml:space="preserve">COMPOSIÇÃO DA REMUNERAÇÃO</t>
  </si>
  <si>
    <t xml:space="preserve">%</t>
  </si>
  <si>
    <t xml:space="preserve">VALOR (R$)</t>
  </si>
  <si>
    <t xml:space="preserve">Salário Base</t>
  </si>
  <si>
    <t xml:space="preserve">Adicional Periculosidade</t>
  </si>
  <si>
    <t xml:space="preserve">Adicional Insalubridade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</si>
  <si>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</si>
  <si>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</si>
  <si>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</si>
  <si>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</si>
  <si>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Outros (especificar)</t>
  </si>
  <si>
    <t xml:space="preserve">TOTAL DO MÓDULO 1</t>
  </si>
  <si>
    <t xml:space="preserve">MÓDULO 2 – ENCARGOS E BENEFÍCIOS ANUAIS, MENSAIS E DIÁRIOS</t>
  </si>
  <si>
    <t xml:space="preserve">Submódulo 2.1 - 13º Salário, Férias e Adicional de Férias</t>
  </si>
  <si>
    <t xml:space="preserve">13 (Décimo-terceiro) salário</t>
  </si>
  <si>
    <t xml:space="preserve">Férias e Abono de Férias</t>
  </si>
  <si>
    <t xml:space="preserve">TOTAL SUBMÓDULO 2.1</t>
  </si>
  <si>
    <r>
      <rPr>
        <b val="true"/>
        <sz val="10"/>
        <color rgb="FF000000"/>
        <rFont val="Arial"/>
        <family val="0"/>
        <charset val="134"/>
      </rPr>
      <t xml:space="preserve">BASE DE CÁLCULO PARA O SUBMÓDULO 2.2 </t>
    </r>
    <r>
      <rPr>
        <sz val="10"/>
        <color rgb="FF000000"/>
        <rFont val="Arial"/>
        <family val="0"/>
        <charset val="134"/>
      </rPr>
      <t xml:space="preserve">(MÓDULO 1 + SUBMÓDULO 2.1)</t>
    </r>
  </si>
  <si>
    <t xml:space="preserve">MÓDULO 1</t>
  </si>
  <si>
    <t xml:space="preserve">SUBMÓDULO 2.1</t>
  </si>
  <si>
    <t xml:space="preserve">TOTAL</t>
  </si>
  <si>
    <t xml:space="preserve">Submódulo 2.2 - GPS, FGTS e Outras Contribuições</t>
  </si>
  <si>
    <t xml:space="preserve">INSS</t>
  </si>
  <si>
    <t xml:space="preserve">Salário Educação</t>
  </si>
  <si>
    <t xml:space="preserve">SAT (Seguro Acidente de Trabalho)</t>
  </si>
  <si>
    <t xml:space="preserve">SESC ou SESI</t>
  </si>
  <si>
    <t xml:space="preserve">SENAI - SENAC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</si>
  <si>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</si>
  <si>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</si>
  <si>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</si>
  <si>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</si>
  <si>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</si>
  <si>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SUBMÓDULO 2.2</t>
  </si>
  <si>
    <t xml:space="preserve">Submódulo 2.3 - Benefícios Mensais e Diários</t>
  </si>
  <si>
    <t xml:space="preserve">Transporte</t>
  </si>
  <si>
    <t xml:space="preserve">Auxílio-Refeição/Alimentação</t>
  </si>
  <si>
    <t xml:space="preserve">Assistência Médica e Familiar</t>
  </si>
  <si>
    <t xml:space="preserve">Seguro de vida</t>
  </si>
  <si>
    <t xml:space="preserve">TOTAL SUBMÓDULO 2.3</t>
  </si>
  <si>
    <t xml:space="preserve">QUADRO-RESUMO DO MÓDULO 2 - ENCARGOS, BENEFÍCIOS ANUAIS, MENSAIS E DIÁRIOS</t>
  </si>
  <si>
    <t xml:space="preserve">Módulo 2 - Encargos, Benefícios Anuais, Mensais e Diários</t>
  </si>
  <si>
    <t xml:space="preserve">13º Salário, Férias e Adicional de Férias</t>
  </si>
  <si>
    <t xml:space="preserve">GPS, FGTS e Outras Contribuições</t>
  </si>
  <si>
    <t xml:space="preserve">Benefícios Mensais e Diários</t>
  </si>
  <si>
    <t xml:space="preserve">TOTAL DO MÓDULO 2</t>
  </si>
  <si>
    <r>
      <rPr>
        <b val="true"/>
        <sz val="10"/>
        <color rgb="FF000000"/>
        <rFont val="Arial"/>
        <family val="0"/>
        <charset val="134"/>
      </rPr>
      <t xml:space="preserve">BASE DE CÁLCULO PARA O MÓDULO 3 </t>
    </r>
    <r>
      <rPr>
        <sz val="10"/>
        <color rgb="FF000000"/>
        <rFont val="Arial"/>
        <family val="0"/>
        <charset val="134"/>
      </rPr>
      <t xml:space="preserve">(MÓDULO 1 + MÓDULO 2)</t>
    </r>
  </si>
  <si>
    <t xml:space="preserve">MÓDULO 2</t>
  </si>
  <si>
    <t xml:space="preserve">MÓDULO 3 – PROVISÃO PARA RESCISÃO</t>
  </si>
  <si>
    <t xml:space="preserve">PROVISÃO PARA RESCISÃO</t>
  </si>
  <si>
    <t xml:space="preserve">Aviso Prévio Indenizado</t>
  </si>
  <si>
    <t xml:space="preserve">Incidência do FGTS sobre Aviso Prévio Indenizado</t>
  </si>
  <si>
    <t xml:space="preserve">Aviso Prévio Trabalhado</t>
  </si>
  <si>
    <t xml:space="preserve">Incidência dos encargos do submódulo 2.2 sobre Aviso Prévio Trabalhado</t>
  </si>
  <si>
    <t xml:space="preserve">Multa do FGTS sobre o Aviso Prévio Indenizado e sobre o Aviso Prévio Trabalhado</t>
  </si>
  <si>
    <t xml:space="preserve">TOTAL DO MÓDULO 3</t>
  </si>
  <si>
    <r>
      <rPr>
        <b val="true"/>
        <sz val="10"/>
        <color rgb="FF000000"/>
        <rFont val="Arial"/>
        <family val="0"/>
        <charset val="134"/>
      </rPr>
      <t xml:space="preserve">BASE DE CÁLCULO PARA O MÓDULO 4 </t>
    </r>
    <r>
      <rPr>
        <sz val="10"/>
        <color rgb="FF000000"/>
        <rFont val="Arial"/>
        <family val="0"/>
        <charset val="134"/>
      </rPr>
      <t xml:space="preserve">(MÓDULO 1 + MÓDULO 2 + MÓDULO 3)</t>
    </r>
  </si>
  <si>
    <t xml:space="preserve">MÓDULO 3</t>
  </si>
  <si>
    <t xml:space="preserve">MÓDULO 4 – CUSTO DE REPOSIÇÃO DO PROFISSIONAL AUSENTE</t>
  </si>
  <si>
    <t xml:space="preserve">Submódulo 4.1 - Ausências Legais</t>
  </si>
  <si>
    <t xml:space="preserve">Substituto na cobertura de Férias</t>
  </si>
  <si>
    <t xml:space="preserve">Substituto na cobertura de Ausências Legais</t>
  </si>
  <si>
    <t xml:space="preserve">Substituto na cobertura de Licença Paternidade</t>
  </si>
  <si>
    <t xml:space="preserve">Substituto na cobertura de Ausência por Acidente de Trabalho</t>
  </si>
  <si>
    <t xml:space="preserve">Substituto na cobertura de Afastamento Maternidade</t>
  </si>
  <si>
    <t xml:space="preserve">Substituto na cobertura de outras ausências</t>
  </si>
  <si>
    <t xml:space="preserve">TOTAL SUBMÓDULO 4.1</t>
  </si>
  <si>
    <t xml:space="preserve">Submódulo 4.2 - Intrajornada</t>
  </si>
  <si>
    <t xml:space="preserve">Intervalo para Repouso ou Alimentação</t>
  </si>
  <si>
    <t xml:space="preserve">TOTAL SUBMÓDULO 4.2</t>
  </si>
  <si>
    <t xml:space="preserve">QUADRO-RESUMO DO MÓDULO 4 - CUSTO DE REPOSIÇÃO DO PROFISSIONAL AUSENTE</t>
  </si>
  <si>
    <t xml:space="preserve">Módulo 4 - Custo de Reposição do Profissional Ausente</t>
  </si>
  <si>
    <t xml:space="preserve">4.1</t>
  </si>
  <si>
    <t xml:space="preserve">Ausências Legais</t>
  </si>
  <si>
    <t xml:space="preserve">4.2</t>
  </si>
  <si>
    <t xml:space="preserve">Intrajornada</t>
  </si>
  <si>
    <t xml:space="preserve">TOTAL DO MÓDULO 4</t>
  </si>
  <si>
    <t xml:space="preserve">MÓDULO 5 – INSUMOS DIVERSOS</t>
  </si>
  <si>
    <t xml:space="preserve">INSUMOS DIVERSOS</t>
  </si>
  <si>
    <t xml:space="preserve">Materiais</t>
  </si>
  <si>
    <t xml:space="preserve">EPIs</t>
  </si>
  <si>
    <t xml:space="preserve">Uniformes</t>
  </si>
  <si>
    <t xml:space="preserve">Equipamentos / Ferramentas</t>
  </si>
  <si>
    <t xml:space="preserve">TOTAL DO MÓDULO 5</t>
  </si>
  <si>
    <r>
      <rPr>
        <b val="true"/>
        <sz val="10"/>
        <color rgb="FF000000"/>
        <rFont val="Arial"/>
        <family val="0"/>
        <charset val="134"/>
      </rPr>
      <t xml:space="preserve">BASE DE CÁLCULO PARA O MÓDULO 6 </t>
    </r>
    <r>
      <rPr>
        <sz val="10"/>
        <color rgb="FF000000"/>
        <rFont val="Arial"/>
        <family val="0"/>
        <charset val="134"/>
      </rPr>
      <t xml:space="preserve">(MÓDULO 1 + MÓDULO 2 + MÓDULO 3 + MÓDULO 4 + MÓDULO 5)</t>
    </r>
  </si>
  <si>
    <t xml:space="preserve">MÓDULO 4</t>
  </si>
  <si>
    <t xml:space="preserve">MÓDULO 5</t>
  </si>
  <si>
    <t xml:space="preserve">MÓDULO 6 – CUSTOS INDIRETOS, TRIBUTOS E LUCRO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</si>
  <si>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</si>
  <si>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</si>
  <si>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</si>
  <si>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</si>
  <si>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</t>
  </si>
  <si>
    <t xml:space="preserve">PIS</t>
  </si>
  <si>
    <t xml:space="preserve">C.2</t>
  </si>
  <si>
    <t xml:space="preserve">COFINS</t>
  </si>
  <si>
    <t xml:space="preserve">C.3</t>
  </si>
  <si>
    <t xml:space="preserve">ISS</t>
  </si>
  <si>
    <t xml:space="preserve">TOTAL DO MÓDULO 6</t>
  </si>
  <si>
    <t xml:space="preserve">a)</t>
  </si>
  <si>
    <t xml:space="preserve">Tributos % = To = .............................................................</t>
  </si>
  <si>
    <t xml:space="preserve">b)</t>
  </si>
  <si>
    <t xml:space="preserve">(Total dos Módulos 1, 2, 3, 4 e 5+ Custos indiretos + lucro)= Po = ...................................</t>
  </si>
  <si>
    <t xml:space="preserve">c)</t>
  </si>
  <si>
    <t xml:space="preserve">Po / (1 - To) = P1 = ..............................................................................</t>
  </si>
  <si>
    <t xml:space="preserve">Valor dos Tributos = P1 - Po</t>
  </si>
  <si>
    <t xml:space="preserve">QUADRO RESUMO DO CUSTO POR EMPREGADO</t>
  </si>
  <si>
    <t xml:space="preserve">Mão-de-Obra vinculada à execução contratual (valor por empregado)</t>
  </si>
  <si>
    <t xml:space="preserve">Subtotal (A + B + C + D + E)</t>
  </si>
  <si>
    <t xml:space="preserve">PREÇO TOTAL POR EMPREGADO</t>
  </si>
  <si>
    <t xml:space="preserve">Categoria profissional: OPERADOR DE ROÇADEIRA - 44 HORAS</t>
  </si>
  <si>
    <t xml:space="preserve">OPERADOR DE ROÇADEIRA</t>
  </si>
  <si>
    <t xml:space="preserve">6410-15</t>
  </si>
  <si>
    <t xml:space="preserve">0.00</t>
  </si>
  <si>
    <t xml:space="preserve">QUANTIDADE DE EMPREGADOS NO POSTO</t>
  </si>
  <si>
    <t xml:space="preserve">PREÇO TOTAL DO EMPREGADO</t>
  </si>
  <si>
    <t xml:space="preserve">VALOR TOTAL DO POSTO</t>
  </si>
  <si>
    <t xml:space="preserve">Categoria profissional: SERVENTE DE LIMPEZA INTERNO ( 44 HORAS) - PISOS ACARPETEADOS</t>
  </si>
  <si>
    <t xml:space="preserve">M²</t>
  </si>
  <si>
    <t xml:space="preserve">SERVENTE LIMPEZA ÁREAS INST.</t>
  </si>
  <si>
    <t xml:space="preserve">5143-20</t>
  </si>
  <si>
    <t xml:space="preserve">Categoria profissional: SERVENTE DE LIMPEZA INTERNA - 44 HORAS (20% INSALUBRIDADE) - LABORATÓRIOS</t>
  </si>
  <si>
    <t xml:space="preserve">* Adicional de Insalubridade incidente sobre o salário mínimo</t>
  </si>
  <si>
    <t xml:space="preserve">Categoria profissional: SERVENTE DE LIMPEZA INTERNA  (44 HORAS) - ALMOXARIFADOS E GALPÕES</t>
  </si>
  <si>
    <t xml:space="preserve">Categoria profissional: SERVENTE DE LIMPEZA INTERNA - 44 HORAS - (20% INSALUBRIDADE) - ALMOXARIFADOS E GALPÕES</t>
  </si>
  <si>
    <t xml:space="preserve">Categoria profissional: SERVENTE DE LIMPEZA INTERNA  (44 HORAS) - ESPAÇOS LIVRES: SAGUÃO, HALL E SALÃO</t>
  </si>
  <si>
    <t xml:space="preserve">Categoria profissional: SERVENTE DE LIMPEZA INTERNA - 44 HORAS (40% INSALUBRIDADE) - BANHEIROS</t>
  </si>
  <si>
    <t xml:space="preserve">SERVENTE LIMPEZA - BANHEIRO COLETIVO GRANDE CIRCULAÇÃO</t>
  </si>
  <si>
    <t xml:space="preserve">Categoria profissional: SERVENTE DE LIMPEZA EXTERNA (44 HORAS) - PISOS PAVIMENTADOS</t>
  </si>
  <si>
    <t xml:space="preserve">Categoria profissional: SERVENTE DE LIMPEZA EXTERNA (44 HORAS) - VARRIÇÃO DE PASSEIOS</t>
  </si>
  <si>
    <t xml:space="preserve">Categoria profissional: SERVENTE DE LIMPEZA EXTERNA (44 HORAS) - PÁTIOS E ÁREAS VERDES COM ALTA FREQUÊNCIA</t>
  </si>
  <si>
    <t xml:space="preserve">Categoria profissional: SERVENTE DE LIMPEZA EXTERNA (44 HORAS) - PÁTIOS E ÁREAS VERDE COM BAIXA FREQUÊNCIA</t>
  </si>
  <si>
    <t xml:space="preserve">Categoria profissional: SERVENTE DE LIMPEZA EXTERNA (44 HORAS) - COLETA DE DETRITOS</t>
  </si>
  <si>
    <t xml:space="preserve">TABELA 1 - QUANTITATIVOS MÍNIMOS DE MATERIAL DE LIMPEZA - UTILIZADOS PELO SERVENTE DE LIMPEZA INTERNO (ENTREGA MENSAL)</t>
  </si>
  <si>
    <t xml:space="preserve">UNIDADE</t>
  </si>
  <si>
    <t xml:space="preserve">QUANT.</t>
  </si>
  <si>
    <t xml:space="preserve">VALOR UNITÁRIO</t>
  </si>
  <si>
    <t xml:space="preserve">VALOR TOTAL</t>
  </si>
  <si>
    <t xml:space="preserve">01</t>
  </si>
  <si>
    <t xml:space="preserve">Água sanitária, composição química hipoclorito de sódio, hidróxido de sódio, cloreto, teor cloro ativo varia de 2 a 2,50%,  classe  corrosivo classe 8,  número risco 85, risco saúde 3, corrosividade 1, peso molecular cloro 74,50, densidade de 1,20 a 1 g/l, cor amarela esverdeada bastante fraca, aplicação lavagem e alvejante de roupas, banheiras, pias, tipo comum. Embalagem de 1l</t>
  </si>
  <si>
    <t xml:space="preserve">Caixa c/12 Unidades</t>
  </si>
  <si>
    <t xml:space="preserve">02</t>
  </si>
  <si>
    <t xml:space="preserve">Álcool etílico limpeza de ambientes, tipo etílico hidratado (líquido), aplicação limpeza, Concentração 70%. Embalagem de 1 L</t>
  </si>
  <si>
    <t xml:space="preserve">03</t>
  </si>
  <si>
    <t xml:space="preserve">Solução ácida para limpeza, embalagem de 1 litro</t>
  </si>
  <si>
    <t xml:space="preserve">Unidade</t>
  </si>
  <si>
    <t xml:space="preserve">04</t>
  </si>
  <si>
    <t xml:space="preserve">Cera, tipo líquida, cor incolor leitoso, composição a base de água, carnaúba e resinas metalizadas, características adicionais antiderrapante, impermeabilizante, aplicação limpeza de pisos. Galão com 5 litros</t>
  </si>
  <si>
    <t xml:space="preserve">05</t>
  </si>
  <si>
    <t xml:space="preserve">Desodorizador, apresentação aerosol, aplicação aromatizador ambiental, características adicionais Ação neutralizante. Embalagem de 360 ml</t>
  </si>
  <si>
    <t xml:space="preserve">06</t>
  </si>
  <si>
    <t xml:space="preserve">Desinfetante, composição à base de quaternário de amônio, forma física solução aquosa concentrada, característica adicional com aroma, embalagem de 1 litro</t>
  </si>
  <si>
    <t xml:space="preserve">07</t>
  </si>
  <si>
    <t xml:space="preserve">Desodorizador sanitário, composição paradicloro benzeno, essência e corante, peso líquido 35g, aspecto físico tablete sólido, características adicionais suporte plástico para vaso sanitário. Com 3 unidades.</t>
  </si>
  <si>
    <t xml:space="preserve">08</t>
  </si>
  <si>
    <t xml:space="preserve">Limpa Cerâmicas. (Ex. Azulim). Embalagem de 1 litro</t>
  </si>
  <si>
    <t xml:space="preserve">09</t>
  </si>
  <si>
    <t xml:space="preserve">Flanela tamanho 40 x 60 cm (no mínimo). Podendo variar em até 5% para mais ou para menos</t>
  </si>
  <si>
    <t xml:space="preserve">10</t>
  </si>
  <si>
    <t xml:space="preserve">Lustra móveis. Embalagem de 200 ml</t>
  </si>
  <si>
    <t xml:space="preserve">11</t>
  </si>
  <si>
    <t xml:space="preserve">Pano de chão alvejado – tamanho aprox. De 60 x 40cm - com resistência aproximada de 24 (vinte e quatro) batidas</t>
  </si>
  <si>
    <t xml:space="preserve">12</t>
  </si>
  <si>
    <t xml:space="preserve">Palha de aço fina</t>
  </si>
  <si>
    <t xml:space="preserve">Fardo c/ 14 unidades</t>
  </si>
  <si>
    <t xml:space="preserve">13</t>
  </si>
  <si>
    <t xml:space="preserve">Veneno para matar insetos. Embalagem de 300 ml / 196 g</t>
  </si>
  <si>
    <t xml:space="preserve">14</t>
  </si>
  <si>
    <t xml:space="preserve">Papel toalha picotado, com 1250 folhas tamanho 23 x 21 cm</t>
  </si>
  <si>
    <t xml:space="preserve">Pacote c/ 1250 folhas</t>
  </si>
  <si>
    <t xml:space="preserve">15</t>
  </si>
  <si>
    <t xml:space="preserve">Papel higiênico, material celulose virgem, comprimento 30 m, largura 10 cm, tipo picotado, quantidade Folha dupla, cor branca, características adicionais extra macio e sem perfume. Fardo com 64 unidades</t>
  </si>
  <si>
    <t xml:space="preserve">Fardo c/ 64 pacotes c/ 4 rolos</t>
  </si>
  <si>
    <t xml:space="preserve">16</t>
  </si>
  <si>
    <t xml:space="preserve">Sabonete líquido, aspecto físico líquido Cremoso perolado, aplicação assepsia das mãos, características Adicionais ph neutro, densidade 0,9 a 1,05 g/m3, composição agentes emolientes e hidratantes, compostos de sais.</t>
  </si>
  <si>
    <t xml:space="preserve">Frasco c/ 5 litros</t>
  </si>
  <si>
    <t xml:space="preserve">17</t>
  </si>
  <si>
    <t xml:space="preserve">Sabão em pó granulado. Embalagem de 500g</t>
  </si>
  <si>
    <t xml:space="preserve">Pacote</t>
  </si>
  <si>
    <t xml:space="preserve">18</t>
  </si>
  <si>
    <t xml:space="preserve">Sabão em barra, glicerinado, pacote com 1 kg Divididos em 5 barras de 200 gr.</t>
  </si>
  <si>
    <t xml:space="preserve">Pacote c/ 5 barras</t>
  </si>
  <si>
    <t xml:space="preserve">19</t>
  </si>
  <si>
    <t xml:space="preserve">Saco plástico para lixo de 30 litros</t>
  </si>
  <si>
    <t xml:space="preserve">Fardo com 100 unidades</t>
  </si>
  <si>
    <t xml:space="preserve">20</t>
  </si>
  <si>
    <t xml:space="preserve">Saco plástico para lixo 50 litros</t>
  </si>
  <si>
    <t xml:space="preserve">21</t>
  </si>
  <si>
    <t xml:space="preserve">Saco Plástico pra lixo 100 litros</t>
  </si>
  <si>
    <t xml:space="preserve">22</t>
  </si>
  <si>
    <t xml:space="preserve">Álcool em gel, embalagem contendo 550ml</t>
  </si>
  <si>
    <t xml:space="preserve">23</t>
  </si>
  <si>
    <t xml:space="preserve">Esponja dupla face para limpeza</t>
  </si>
  <si>
    <t xml:space="preserve">Caixa com 60 unidades</t>
  </si>
  <si>
    <t xml:space="preserve">24</t>
  </si>
  <si>
    <t xml:space="preserve">Detergente líquido neutro, embalagem de 500 ml</t>
  </si>
  <si>
    <t xml:space="preserve">Caixa com 24 unidades</t>
  </si>
  <si>
    <t xml:space="preserve">25</t>
  </si>
  <si>
    <t xml:space="preserve">Cera, tipo líquida, cor preta, aplicação limpeza de pisos. Galão com 5 litros</t>
  </si>
  <si>
    <t xml:space="preserve">26</t>
  </si>
  <si>
    <t xml:space="preserve">Soda cáustica, pote 500 g</t>
  </si>
  <si>
    <t xml:space="preserve">Limpador para quadro branco, com gatilho spray 500 ml</t>
  </si>
  <si>
    <t xml:space="preserve">EMPREGADOS</t>
  </si>
  <si>
    <t xml:space="preserve">VALOR MENSAL POR EMPREGADO</t>
  </si>
  <si>
    <t xml:space="preserve">TABELA 2 - MATERIAIS – AQUISIÇÃO IMEDIATA</t>
  </si>
  <si>
    <t xml:space="preserve">SERVENTE DE LIMPEZA INTERNA</t>
  </si>
  <si>
    <t xml:space="preserve">Mangueira para jardim ¾' x 2,00mm peça com 30 metros.</t>
  </si>
  <si>
    <t xml:space="preserve">Mangueira para jardim ½” x 2,00mm peça com 30 metros.</t>
  </si>
  <si>
    <t xml:space="preserve">Adaptador de mangueiras ½”</t>
  </si>
  <si>
    <t xml:space="preserve">Adaptador de mangueiras ¾'</t>
  </si>
  <si>
    <t xml:space="preserve">Pá pequena material plástico com cabo de 80cm para lixo</t>
  </si>
  <si>
    <t xml:space="preserve">Rodo de alumínio com cabo de madeira, 40cm</t>
  </si>
  <si>
    <t xml:space="preserve">Balde plástico cap. 10 litros</t>
  </si>
  <si>
    <t xml:space="preserve">Vassoura de nylon, p/uso em vaso sanitário, c/cabo de material Plástico, impermeável, passível de desinfecção</t>
  </si>
  <si>
    <t xml:space="preserve">Escovinha de nylon</t>
  </si>
  <si>
    <t xml:space="preserve">Lixeira plástica de 10 litros</t>
  </si>
  <si>
    <t xml:space="preserve">Vassoura, material com cerdas de pelo sintético, material cabo madeira, Comprimento cepa 30 cm, aplicação Limpeza em geral.</t>
  </si>
  <si>
    <t xml:space="preserve">SERVENTE DE LIMPEZA EXTERNA</t>
  </si>
  <si>
    <t xml:space="preserve">Vassoura Rastelo Fixa 22 Dentes Em Aço</t>
  </si>
  <si>
    <t xml:space="preserve">VALOR TOTAL SERVENTE DE LIMPEZA INTERNA</t>
  </si>
  <si>
    <t xml:space="preserve">VALOR TOTAL SERVENTE DE LIMPEZA EXTERNA</t>
  </si>
  <si>
    <t xml:space="preserve">TABELA 3 - FERRAMENTAS – AQUISIÇÃO IMEDIATA</t>
  </si>
  <si>
    <t xml:space="preserve">Enxada Norte estreita em aço SAE 1045, diâmetro de olho 38 mm, acabamento em verniz e cabo de madeira redondo, dimensões (2,0 libras – 230 x 240 mm).</t>
  </si>
  <si>
    <t xml:space="preserve">Vassourão gari reforçado, cerdas de PET 0,8 mm, dimensões 40 x 6 x 10 cm para varrição pesada. Cabo em madeira 1,40m.</t>
  </si>
  <si>
    <t xml:space="preserve">Ciscador ancinho de aço</t>
  </si>
  <si>
    <r>
      <rPr>
        <b val="true"/>
        <sz val="11"/>
        <color rgb="FF000000"/>
        <rFont val="Calibri"/>
        <family val="0"/>
        <charset val="134"/>
      </rPr>
      <t xml:space="preserve">TABELA 4
FERRAMENTAS/</t>
    </r>
    <r>
      <rPr>
        <b val="true"/>
        <sz val="8"/>
        <color rgb="FF0000FF"/>
        <rFont val="Arial;Arial"/>
        <family val="2"/>
        <charset val="1"/>
      </rPr>
      <t xml:space="preserve"> </t>
    </r>
    <r>
      <rPr>
        <b val="true"/>
        <sz val="11"/>
        <color rgb="FF000000"/>
        <rFont val="Calibri"/>
        <family val="0"/>
        <charset val="134"/>
      </rPr>
      <t xml:space="preserve">MATERIAIS</t>
    </r>
    <r>
      <rPr>
        <b val="true"/>
        <sz val="8"/>
        <color rgb="FF0000FF"/>
        <rFont val="Arial;Arial"/>
        <family val="2"/>
        <charset val="1"/>
      </rPr>
      <t xml:space="preserve"> </t>
    </r>
    <r>
      <rPr>
        <b val="true"/>
        <sz val="11"/>
        <color rgb="FF000000"/>
        <rFont val="Calibri"/>
        <family val="0"/>
        <charset val="134"/>
      </rPr>
      <t xml:space="preserve">UTILIZADOS</t>
    </r>
    <r>
      <rPr>
        <b val="true"/>
        <sz val="8"/>
        <color rgb="FF0000FF"/>
        <rFont val="Arial;Arial"/>
        <family val="2"/>
        <charset val="1"/>
      </rPr>
      <t xml:space="preserve"> </t>
    </r>
    <r>
      <rPr>
        <b val="true"/>
        <sz val="11"/>
        <color rgb="FF000000"/>
        <rFont val="Calibri"/>
        <family val="0"/>
        <charset val="134"/>
      </rPr>
      <t xml:space="preserve">PELOS</t>
    </r>
    <r>
      <rPr>
        <b val="true"/>
        <sz val="8"/>
        <color rgb="FF0000FF"/>
        <rFont val="Arial;Arial"/>
        <family val="2"/>
        <charset val="1"/>
      </rPr>
      <t xml:space="preserve"> </t>
    </r>
    <r>
      <rPr>
        <b val="true"/>
        <sz val="11"/>
        <color rgb="FF000000"/>
        <rFont val="Calibri"/>
        <family val="0"/>
        <charset val="134"/>
      </rPr>
      <t xml:space="preserve">OPERADORES</t>
    </r>
    <r>
      <rPr>
        <b val="true"/>
        <sz val="8"/>
        <color rgb="FF0000FF"/>
        <rFont val="Arial;Arial"/>
        <family val="2"/>
        <charset val="1"/>
      </rPr>
      <t xml:space="preserve"> </t>
    </r>
    <r>
      <rPr>
        <b val="true"/>
        <sz val="11"/>
        <color rgb="FF000000"/>
        <rFont val="Calibri"/>
        <family val="0"/>
        <charset val="134"/>
      </rPr>
      <t xml:space="preserve">DE</t>
    </r>
    <r>
      <rPr>
        <b val="true"/>
        <sz val="8"/>
        <color rgb="FF0000FF"/>
        <rFont val="Arial;Arial"/>
        <family val="2"/>
        <charset val="1"/>
      </rPr>
      <t xml:space="preserve"> </t>
    </r>
    <r>
      <rPr>
        <b val="true"/>
        <sz val="11"/>
        <color rgb="FF000000"/>
        <rFont val="Calibri"/>
        <family val="0"/>
        <charset val="134"/>
      </rPr>
      <t xml:space="preserve">ROÇADEIRA -  AQUISIÇÃO IMEDIATA</t>
    </r>
  </si>
  <si>
    <r>
      <rPr>
        <b val="true"/>
        <sz val="11"/>
        <color rgb="FF000000"/>
        <rFont val="Calibri"/>
        <family val="0"/>
        <charset val="1"/>
      </rPr>
      <t xml:space="preserve">OPERADOR</t>
    </r>
    <r>
      <rPr>
        <b val="true"/>
        <sz val="8"/>
        <color rgb="FF0000FF"/>
        <rFont val="Arial;Arial"/>
        <family val="2"/>
        <charset val="1"/>
      </rPr>
      <t xml:space="preserve"> </t>
    </r>
    <r>
      <rPr>
        <b val="true"/>
        <sz val="11"/>
        <color rgb="FF000000"/>
        <rFont val="Calibri"/>
        <family val="0"/>
        <charset val="1"/>
      </rPr>
      <t xml:space="preserve">DE</t>
    </r>
    <r>
      <rPr>
        <b val="true"/>
        <sz val="8"/>
        <color rgb="FF0000FF"/>
        <rFont val="Arial;Arial"/>
        <family val="2"/>
        <charset val="1"/>
      </rPr>
      <t xml:space="preserve"> </t>
    </r>
    <r>
      <rPr>
        <b val="true"/>
        <sz val="11"/>
        <color rgb="FF000000"/>
        <rFont val="Calibri"/>
        <family val="0"/>
        <charset val="1"/>
      </rPr>
      <t xml:space="preserve">ROÇADEIRA</t>
    </r>
  </si>
  <si>
    <t xml:space="preserve">Fio de Nylon Vermelho Redondo 2,65mm x 15m para Roçadeira</t>
  </si>
  <si>
    <t xml:space="preserve">BOBINA</t>
  </si>
  <si>
    <t xml:space="preserve">TABELA 5 - EQUIPAMENTOS </t>
  </si>
  <si>
    <t xml:space="preserve">VIDA ÚTIL (MESES)</t>
  </si>
  <si>
    <t xml:space="preserve">VALOR DEPRECIÁVEL (80%)</t>
  </si>
  <si>
    <t xml:space="preserve">DEPRECIAÇÃO MENSAL</t>
  </si>
  <si>
    <t xml:space="preserve">Escada de alumínio com 4 degraus</t>
  </si>
  <si>
    <t xml:space="preserve">Cortador de grama. Especificações: 4 tempos. Motor a gasolina. Potência 6 HP</t>
  </si>
  <si>
    <t xml:space="preserve">Carrinho de mão</t>
  </si>
  <si>
    <t xml:space="preserve">Roçadeira 38,9 cc, potência de 2KW, tanque com capacidade de 0,58L</t>
  </si>
  <si>
    <t xml:space="preserve">VALOR TOTAL OPERADOR DE ROÇADEIRA</t>
  </si>
  <si>
    <t xml:space="preserve">TABELA 6 - QUANTITATIVOS MÍNIMOS DE EPI'S</t>
  </si>
  <si>
    <t xml:space="preserve">SERVENTE DE LIMPEZA EXTERNO – ENTREGA IMEDIATA</t>
  </si>
  <si>
    <t xml:space="preserve">Luva de segurança confeccionada em raspa, tira de reforço externo em raspa entre os dedos polegar e indicador, punhos de 7cm, 15cm e 20cm. Com CA.</t>
  </si>
  <si>
    <t xml:space="preserve">PAR</t>
  </si>
  <si>
    <t xml:space="preserve">Chapéu com proteção solar para rosto, nuca e orelhas. Com CA.</t>
  </si>
  <si>
    <t xml:space="preserve">Óculos de Segurança (Lentes em Policarbonato de alta resistência a impacto, anti-risco e incolor. Hastes tipo espátula com ajuste de comprimento, proteção UVA). Com CA.</t>
  </si>
  <si>
    <t xml:space="preserve">TOTAL MENSAL POR FUNCIONÁRIO</t>
  </si>
  <si>
    <t xml:space="preserve">SERVENTE DE LIMPEZA INTERNO (DEMAIS ÁREAS) - ENTREGA MENSAL</t>
  </si>
  <si>
    <t xml:space="preserve">Luva de látex, hipoalergênica, revestimento interno em verniz silver, superfície externa antiderrapante na palma e face palmar dos dedos, lisa na face dorsal e punho; Tamanho P, M, G</t>
  </si>
  <si>
    <t xml:space="preserve">SERVENTE DE LIMPEZA INTERNO (ÁREAS INSALUBRES) - ENTREGA MENSAL</t>
  </si>
  <si>
    <t xml:space="preserve">Máscara respirador descartável PFF2/ N95</t>
  </si>
  <si>
    <t xml:space="preserve">OPERADOR DE ROÇADEIRA - ENTREGA IMEDIATA</t>
  </si>
  <si>
    <t xml:space="preserve">Protetor facial com tela de aço para operador de roçadeira. Com CA.</t>
  </si>
  <si>
    <t xml:space="preserve">Tela de proteção para trabalhos com roçadeira, medindo 2m x 5m, confeccionada em nylon, com hastes metálicas.</t>
  </si>
  <si>
    <t xml:space="preserve">Protetor Auricular de inserção em silicone. Atenuação mínima de 15 dB. Com CA.</t>
  </si>
  <si>
    <t xml:space="preserve">TABELA 7 - UNIFORMES </t>
  </si>
  <si>
    <t xml:space="preserve">SERVENTE DE LIMPEZA INTERNA (ÁREAS INSALUBRES)</t>
  </si>
  <si>
    <t xml:space="preserve">ENTREGA</t>
  </si>
  <si>
    <t xml:space="preserve">QT. POR FUNCIONÁRIO</t>
  </si>
  <si>
    <t xml:space="preserve">Bota de borracha, cor preta, cano médio, com palmilha antibacteriana e confortável, com solado de borracha antiderrapante, com CA*</t>
  </si>
  <si>
    <t xml:space="preserve">IMEDIATA</t>
  </si>
  <si>
    <t xml:space="preserve">Calça em brim/ jeans com bolsos laterais e traseiros</t>
  </si>
  <si>
    <t xml:space="preserve">Camiseta 100% algodão, manga curta e gola careca, com logo da empresa</t>
  </si>
  <si>
    <t xml:space="preserve">Crachá de identificação com foto, porta crachá e prendedor</t>
  </si>
  <si>
    <t xml:space="preserve">Meia 100% algodão, cano médio</t>
  </si>
  <si>
    <t xml:space="preserve">Calçado de segurança, cor preta com solado antiderrapante, impermeável, com palmilha antibacteriana e confortável. Com CA.</t>
  </si>
  <si>
    <t xml:space="preserve">VALOR MENSAL</t>
  </si>
  <si>
    <t xml:space="preserve">SERVENTE DE LIMPEZA INTERNA (DEMAIS ÁREAS) E ENCARREGADO</t>
  </si>
  <si>
    <t xml:space="preserve">SERVENTE DE LIMPEZA EXTERNA E OPERADOR DE ROÇADEIRA</t>
  </si>
  <si>
    <t xml:space="preserve">Camiseta 100% algodão, manga longa e gola careca, com proteção UV</t>
  </si>
</sst>
</file>

<file path=xl/styles.xml><?xml version="1.0" encoding="utf-8"?>
<styleSheet xmlns="http://schemas.openxmlformats.org/spreadsheetml/2006/main">
  <numFmts count="22">
    <numFmt numFmtId="164" formatCode="General"/>
    <numFmt numFmtId="165" formatCode="[$R$-416]\ #,##0.00;[RED]\-[$R$-416]\ #,##0.00"/>
    <numFmt numFmtId="166" formatCode="_-[$R$-416]\ * #,##0.00_-;\-[$R$-416]\ * #,##0.00_-;_-[$R$-416]\ * \-??_-;_-@_-"/>
    <numFmt numFmtId="167" formatCode="_-* #,##0.00_-;\-* #,##0.00_-;_-* \-??_-;_-@_-"/>
    <numFmt numFmtId="168" formatCode="_(&quot;R$ &quot;* #,##0.00_);_(&quot;R$ &quot;* \(#,##0.00\);_(&quot;R$ &quot;* \-??_);_(@_)"/>
    <numFmt numFmtId="169" formatCode="_(* #,##0.00_);_(* \(#,##0.00\);_(* \-??_);_(@_)"/>
    <numFmt numFmtId="170" formatCode="General"/>
    <numFmt numFmtId="171" formatCode="#,##0.00"/>
    <numFmt numFmtId="172" formatCode="_-&quot;R$ &quot;* #,##0.00_-;&quot;-R$ &quot;* #,##0.00_-;_-&quot;R$ &quot;* \-??_-;_-@_-"/>
    <numFmt numFmtId="173" formatCode="0.00"/>
    <numFmt numFmtId="174" formatCode="@"/>
    <numFmt numFmtId="175" formatCode="0.000"/>
    <numFmt numFmtId="176" formatCode="d\.m\.yy"/>
    <numFmt numFmtId="177" formatCode="d/m/yyyy"/>
    <numFmt numFmtId="178" formatCode="0.00_);[RED]\(0.00\)"/>
    <numFmt numFmtId="179" formatCode="0.00%"/>
    <numFmt numFmtId="180" formatCode="_-&quot;R$ &quot;* #,##0.00_-;&quot;-R$ &quot;* #,##0.00_-;_-&quot;R$ &quot;* \-??_-;_-@"/>
    <numFmt numFmtId="181" formatCode="0.0%"/>
    <numFmt numFmtId="182" formatCode="0%"/>
    <numFmt numFmtId="183" formatCode="&quot;R$ &quot;#,##0.00_);[RED]&quot;(R$ &quot;#,###.00\)"/>
    <numFmt numFmtId="184" formatCode="0.000000_ "/>
    <numFmt numFmtId="185" formatCode="0.0000000_ "/>
  </numFmts>
  <fonts count="32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Arial"/>
      <family val="0"/>
      <charset val="134"/>
    </font>
    <font>
      <sz val="9"/>
      <color rgb="FF000000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name val="Arial"/>
      <family val="0"/>
      <charset val="134"/>
    </font>
    <font>
      <sz val="10"/>
      <name val="Arial"/>
      <family val="0"/>
      <charset val="134"/>
    </font>
    <font>
      <sz val="11"/>
      <name val="Calibri"/>
      <family val="0"/>
      <charset val="134"/>
    </font>
    <font>
      <sz val="10"/>
      <color rgb="FF000000"/>
      <name val="Arial"/>
      <family val="0"/>
      <charset val="134"/>
    </font>
    <font>
      <b val="true"/>
      <sz val="10"/>
      <color rgb="FF000000"/>
      <name val="Arial"/>
      <family val="0"/>
      <charset val="134"/>
    </font>
    <font>
      <b val="true"/>
      <sz val="10"/>
      <color rgb="FF000000"/>
      <name val="Times New Roman"/>
      <family val="0"/>
      <charset val="134"/>
    </font>
    <font>
      <sz val="10"/>
      <color rgb="FF000000"/>
      <name val="Times New Roman"/>
      <family val="0"/>
      <charset val="134"/>
    </font>
    <font>
      <b val="true"/>
      <sz val="10"/>
      <color rgb="FFFFFFFF"/>
      <name val="Times New Roman"/>
      <family val="0"/>
      <charset val="134"/>
    </font>
    <font>
      <b val="true"/>
      <i val="true"/>
      <sz val="10"/>
      <color rgb="FFFFFFFF"/>
      <name val="Times New Roman"/>
      <family val="0"/>
      <charset val="134"/>
    </font>
    <font>
      <i val="true"/>
      <sz val="10"/>
      <color rgb="FF000000"/>
      <name val="Times New Roman"/>
      <family val="0"/>
      <charset val="134"/>
    </font>
    <font>
      <sz val="10"/>
      <color rgb="FFFFFFFF"/>
      <name val="Times New Roman"/>
      <family val="0"/>
      <charset val="134"/>
    </font>
    <font>
      <b val="true"/>
      <i val="true"/>
      <sz val="10"/>
      <color rgb="FF000000"/>
      <name val="Times New Roman"/>
      <family val="0"/>
      <charset val="134"/>
    </font>
    <font>
      <i val="true"/>
      <sz val="10"/>
      <color rgb="FFFFFFFF"/>
      <name val="Times New Roman"/>
      <family val="0"/>
      <charset val="134"/>
    </font>
    <font>
      <sz val="10"/>
      <color rgb="FFC9211E"/>
      <name val="Times New Roman"/>
      <family val="0"/>
      <charset val="134"/>
    </font>
    <font>
      <b val="true"/>
      <sz val="10"/>
      <color rgb="FFFF0000"/>
      <name val="Arial"/>
      <family val="0"/>
      <charset val="134"/>
    </font>
    <font>
      <b val="true"/>
      <sz val="12"/>
      <color rgb="FF000000"/>
      <name val="Arial"/>
      <family val="0"/>
      <charset val="134"/>
    </font>
    <font>
      <sz val="10"/>
      <color rgb="FFFF0000"/>
      <name val="Arial"/>
      <family val="0"/>
      <charset val="134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0"/>
      <charset val="134"/>
    </font>
    <font>
      <b val="true"/>
      <sz val="12"/>
      <color rgb="FF000000"/>
      <name val="Calibri"/>
      <family val="0"/>
      <charset val="134"/>
    </font>
    <font>
      <b val="true"/>
      <sz val="11"/>
      <color rgb="FF000000"/>
      <name val="Calibri"/>
      <family val="0"/>
      <charset val="134"/>
    </font>
    <font>
      <b val="true"/>
      <sz val="11"/>
      <name val="Calibri"/>
      <family val="0"/>
      <charset val="134"/>
    </font>
    <font>
      <b val="true"/>
      <sz val="8"/>
      <color rgb="FF0000FF"/>
      <name val="Arial;Arial"/>
      <family val="2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</fonts>
  <fills count="23">
    <fill>
      <patternFill patternType="none"/>
    </fill>
    <fill>
      <patternFill patternType="gray125"/>
    </fill>
    <fill>
      <patternFill patternType="solid">
        <fgColor rgb="FF9CC3E5"/>
        <bgColor rgb="FF9DC3E6"/>
      </patternFill>
    </fill>
    <fill>
      <patternFill patternType="solid">
        <fgColor rgb="FFB4C7E7"/>
        <bgColor rgb="FF9DC3E6"/>
      </patternFill>
    </fill>
    <fill>
      <patternFill patternType="solid">
        <fgColor rgb="FFD9D9D9"/>
        <bgColor rgb="FFDBDBDB"/>
      </patternFill>
    </fill>
    <fill>
      <patternFill patternType="solid">
        <fgColor rgb="FF000000"/>
        <bgColor rgb="FF003300"/>
      </patternFill>
    </fill>
    <fill>
      <patternFill patternType="solid">
        <fgColor rgb="FFFFC000"/>
        <bgColor rgb="FFFF9900"/>
      </patternFill>
    </fill>
    <fill>
      <patternFill patternType="solid">
        <fgColor rgb="FFBFBFBF"/>
        <bgColor rgb="FFB4C7E7"/>
      </patternFill>
    </fill>
    <fill>
      <patternFill patternType="solid">
        <fgColor rgb="FFFFFFFF"/>
        <bgColor rgb="FFE2F0D9"/>
      </patternFill>
    </fill>
    <fill>
      <patternFill patternType="solid">
        <fgColor rgb="FFFFE599"/>
        <bgColor rgb="FFFBE5D5"/>
      </patternFill>
    </fill>
    <fill>
      <patternFill patternType="solid">
        <fgColor rgb="FF34A853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DBDBDB"/>
        <bgColor rgb="FFD9D9D9"/>
      </patternFill>
    </fill>
    <fill>
      <patternFill patternType="solid">
        <fgColor rgb="FF9DC3E6"/>
        <bgColor rgb="FF9CC3E5"/>
      </patternFill>
    </fill>
    <fill>
      <patternFill patternType="solid">
        <fgColor rgb="FF92D050"/>
        <bgColor rgb="FFBFBFBF"/>
      </patternFill>
    </fill>
    <fill>
      <patternFill patternType="solid">
        <fgColor rgb="FFBDD7EE"/>
        <bgColor rgb="FFB4C7E7"/>
      </patternFill>
    </fill>
    <fill>
      <patternFill patternType="solid">
        <fgColor rgb="FFE2EFD9"/>
        <bgColor rgb="FFE2F0D9"/>
      </patternFill>
    </fill>
    <fill>
      <patternFill patternType="solid">
        <fgColor rgb="FF8EAADB"/>
        <bgColor rgb="FF9CC3E5"/>
      </patternFill>
    </fill>
    <fill>
      <patternFill patternType="solid">
        <fgColor rgb="FFE2F0D9"/>
        <bgColor rgb="FFE2EFD9"/>
      </patternFill>
    </fill>
    <fill>
      <patternFill patternType="solid">
        <fgColor rgb="FF008080"/>
        <bgColor rgb="FF008080"/>
      </patternFill>
    </fill>
    <fill>
      <patternFill patternType="solid">
        <fgColor rgb="FFFBE5D5"/>
        <bgColor rgb="FFFBE5D6"/>
      </patternFill>
    </fill>
    <fill>
      <patternFill patternType="solid">
        <fgColor rgb="FFFBE5D6"/>
        <bgColor rgb="FFFBE5D5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>
        <color rgb="FF800000"/>
      </right>
      <top style="thin">
        <color rgb="FF800000"/>
      </top>
      <bottom style="thin">
        <color rgb="FF80000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2" xfId="0" applyFont="false" applyBorder="true" applyAlignment="true" applyProtection="true">
      <alignment horizontal="justify" vertical="center" textRotation="0" wrapText="false" indent="0" shrinkToFit="false"/>
      <protection locked="true" hidden="false"/>
    </xf>
    <xf numFmtId="169" fontId="8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8" fillId="5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0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3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0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3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4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15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74" fontId="16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3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3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8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16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3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3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3" fillId="6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6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1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3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2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3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3" fillId="7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7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4" fontId="13" fillId="8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8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16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6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3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13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16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3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3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3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6" fillId="7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3" fontId="16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1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7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74" fontId="13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18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9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20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6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6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4" fontId="17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13" fillId="6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6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1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3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13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2" fillId="1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12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6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7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11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7" fillId="11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1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8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1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8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15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7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9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11" fillId="1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1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17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11" fillId="17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1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22" fillId="17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1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17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1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8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1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2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1" fillId="1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9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21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18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11" fillId="1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83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1" fillId="1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8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3" fontId="11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1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9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80" fontId="11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3" fontId="27" fillId="2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3" fontId="27" fillId="2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83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27" fillId="2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8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2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83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83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27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7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2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83" fontId="27" fillId="2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83" fontId="27" fillId="2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27" fillId="2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7" fillId="2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27" fillId="2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2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0" fontId="27" fillId="2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3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2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0" fontId="27" fillId="2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3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2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3" fontId="27" fillId="2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3" fontId="27" fillId="2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EAADB"/>
      <rgbColor rgb="FF993366"/>
      <rgbColor rgb="FFFBE5D5"/>
      <rgbColor rgb="FFE2EFD9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BDBDB"/>
      <rgbColor rgb="FFE2F0D9"/>
      <rgbColor rgb="FFFBE5D6"/>
      <rgbColor rgb="FF9DC3E6"/>
      <rgbColor rgb="FFD9D9D9"/>
      <rgbColor rgb="FFB4C7E7"/>
      <rgbColor rgb="FFFFE599"/>
      <rgbColor rgb="FF3366FF"/>
      <rgbColor rgb="FF33CCCC"/>
      <rgbColor rgb="FF92D050"/>
      <rgbColor rgb="FFFFC000"/>
      <rgbColor rgb="FFFF9900"/>
      <rgbColor rgb="FFFF6600"/>
      <rgbColor rgb="FF666699"/>
      <rgbColor rgb="FF9CC3E5"/>
      <rgbColor rgb="FF003366"/>
      <rgbColor rgb="FF34A853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pageBreakPreview" topLeftCell="A1" colorId="64" zoomScale="80" zoomScaleNormal="100" zoomScalePageLayoutView="80" workbookViewId="0">
      <selection pane="topLeft" activeCell="G17" activeCellId="0" sqref="G17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50.33"/>
    <col collapsed="false" customWidth="true" hidden="false" outlineLevel="0" max="4" min="3" style="1" width="14.43"/>
    <col collapsed="false" customWidth="true" hidden="false" outlineLevel="0" max="5" min="5" style="1" width="16"/>
    <col collapsed="false" customWidth="true" hidden="false" outlineLevel="0" max="6" min="6" style="1" width="20.78"/>
    <col collapsed="false" customWidth="true" hidden="false" outlineLevel="0" max="1025" min="7" style="1" width="14.43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2.3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false" ht="45.75" hidden="false" customHeight="true" outlineLevel="0" collapsed="false">
      <c r="A3" s="3" t="n">
        <v>1</v>
      </c>
      <c r="B3" s="4" t="s">
        <v>7</v>
      </c>
      <c r="C3" s="5" t="s">
        <v>8</v>
      </c>
      <c r="D3" s="3" t="n">
        <v>6</v>
      </c>
      <c r="E3" s="6" t="n">
        <f aca="false">PRODUTIVIDADE!G109</f>
        <v>222572.35</v>
      </c>
      <c r="F3" s="6" t="n">
        <f aca="false">PRODUTIVIDADE!G110</f>
        <v>1335434.1</v>
      </c>
    </row>
    <row r="4" customFormat="false" ht="35.25" hidden="false" customHeight="true" outlineLevel="0" collapsed="false">
      <c r="A4" s="3" t="n">
        <v>2</v>
      </c>
      <c r="B4" s="4" t="s">
        <v>9</v>
      </c>
      <c r="C4" s="5" t="s">
        <v>8</v>
      </c>
      <c r="D4" s="3" t="n">
        <v>6</v>
      </c>
      <c r="E4" s="6" t="n">
        <f aca="false">'OPERADOR DE ROÇADEIRA'!I140</f>
        <v>16392.09</v>
      </c>
      <c r="F4" s="6" t="n">
        <f aca="false">E4*6</f>
        <v>98352.54</v>
      </c>
    </row>
    <row r="5" customFormat="false" ht="13.5" hidden="false" customHeight="true" outlineLevel="0" collapsed="false">
      <c r="A5" s="7" t="s">
        <v>10</v>
      </c>
      <c r="B5" s="7"/>
      <c r="C5" s="7"/>
      <c r="D5" s="7"/>
      <c r="E5" s="8" t="n">
        <f aca="false">SUM(E3,E4)</f>
        <v>238964.44</v>
      </c>
      <c r="F5" s="8"/>
    </row>
    <row r="6" customFormat="false" ht="21" hidden="false" customHeight="true" outlineLevel="0" collapsed="false">
      <c r="A6" s="7" t="s">
        <v>11</v>
      </c>
      <c r="B6" s="7"/>
      <c r="C6" s="7"/>
      <c r="D6" s="7"/>
      <c r="E6" s="8" t="n">
        <f aca="false">SUM(F3,F4)</f>
        <v>1433786.64</v>
      </c>
      <c r="F6" s="8"/>
    </row>
    <row r="7" customFormat="false" ht="21.75" hidden="false" customHeight="true" outlineLevel="0" collapsed="false">
      <c r="B7" s="9"/>
    </row>
    <row r="8" customFormat="false" ht="44.25" hidden="false" customHeight="true" outlineLevel="0" collapsed="false">
      <c r="A8" s="10" t="s">
        <v>12</v>
      </c>
      <c r="B8" s="10"/>
      <c r="C8" s="10"/>
      <c r="D8" s="10"/>
      <c r="E8" s="10"/>
      <c r="F8" s="10"/>
    </row>
    <row r="10" customFormat="false" ht="57.75" hidden="false" customHeight="true" outlineLevel="0" collapsed="false"/>
  </sheetData>
  <mergeCells count="6">
    <mergeCell ref="A1:F1"/>
    <mergeCell ref="A5:D5"/>
    <mergeCell ref="E5:F5"/>
    <mergeCell ref="A6:D6"/>
    <mergeCell ref="E6:F6"/>
    <mergeCell ref="A8:F8"/>
  </mergeCells>
  <printOptions headings="false" gridLines="false" gridLinesSet="true" horizontalCentered="false" verticalCentered="false"/>
  <pageMargins left="0.236111111111111" right="0.236111111111111" top="1.05277777777778" bottom="1.05277777777778" header="0" footer="0"/>
  <pageSetup paperSize="9" scale="11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354"/>
  <sheetViews>
    <sheetView showFormulas="false" showGridLines="true" showRowColHeaders="true" showZeros="true" rightToLeft="false" tabSelected="false" showOutlineSymbols="true" defaultGridColor="true" view="pageBreakPreview" topLeftCell="A315" colorId="64" zoomScale="80" zoomScaleNormal="100" zoomScalePageLayoutView="80" workbookViewId="0">
      <selection pane="topLeft" activeCell="A324" activeCellId="0" sqref="A324"/>
    </sheetView>
  </sheetViews>
  <sheetFormatPr defaultColWidth="8.6796875" defaultRowHeight="14.4" zeroHeight="false" outlineLevelRow="0" outlineLevelCol="0"/>
  <cols>
    <col collapsed="false" customWidth="true" hidden="false" outlineLevel="0" max="1" min="1" style="11" width="6.11"/>
    <col collapsed="false" customWidth="true" hidden="false" outlineLevel="0" max="2" min="2" style="11" width="41.11"/>
    <col collapsed="false" customWidth="true" hidden="false" outlineLevel="0" max="3" min="3" style="11" width="15.34"/>
    <col collapsed="false" customWidth="true" hidden="false" outlineLevel="0" max="4" min="4" style="11" width="22.89"/>
    <col collapsed="false" customWidth="true" hidden="false" outlineLevel="0" max="5" min="5" style="11" width="20.98"/>
    <col collapsed="false" customWidth="true" hidden="false" outlineLevel="0" max="6" min="6" style="11" width="23.88"/>
    <col collapsed="false" customWidth="true" hidden="false" outlineLevel="0" max="8" min="7" style="11" width="20.98"/>
    <col collapsed="false" customWidth="true" hidden="false" outlineLevel="0" max="9" min="9" style="11" width="16.33"/>
    <col collapsed="false" customWidth="true" hidden="false" outlineLevel="0" max="10" min="10" style="11" width="27.58"/>
    <col collapsed="false" customWidth="true" hidden="false" outlineLevel="0" max="11" min="11" style="11" width="22.66"/>
    <col collapsed="false" customWidth="true" hidden="false" outlineLevel="0" max="12" min="12" style="11" width="13.34"/>
    <col collapsed="false" customWidth="true" hidden="false" outlineLevel="0" max="255" min="13" style="11" width="10.33"/>
    <col collapsed="false" customWidth="true" hidden="false" outlineLevel="0" max="256" min="256" style="11" width="3.11"/>
    <col collapsed="false" customWidth="true" hidden="false" outlineLevel="0" max="257" min="257" style="11" width="30.89"/>
    <col collapsed="false" customWidth="true" hidden="false" outlineLevel="0" max="258" min="258" style="11" width="36.45"/>
    <col collapsed="false" customWidth="true" hidden="false" outlineLevel="0" max="263" min="259" style="11" width="20.98"/>
    <col collapsed="false" customWidth="true" hidden="false" outlineLevel="0" max="264" min="264" style="11" width="14.11"/>
    <col collapsed="false" customWidth="true" hidden="false" outlineLevel="0" max="265" min="265" style="11" width="16.33"/>
    <col collapsed="false" customWidth="true" hidden="false" outlineLevel="0" max="511" min="266" style="11" width="10.33"/>
    <col collapsed="false" customWidth="true" hidden="false" outlineLevel="0" max="512" min="512" style="11" width="3.11"/>
    <col collapsed="false" customWidth="true" hidden="false" outlineLevel="0" max="513" min="513" style="11" width="30.89"/>
    <col collapsed="false" customWidth="true" hidden="false" outlineLevel="0" max="514" min="514" style="11" width="36.45"/>
    <col collapsed="false" customWidth="true" hidden="false" outlineLevel="0" max="519" min="515" style="11" width="20.98"/>
    <col collapsed="false" customWidth="true" hidden="false" outlineLevel="0" max="520" min="520" style="11" width="14.11"/>
    <col collapsed="false" customWidth="true" hidden="false" outlineLevel="0" max="521" min="521" style="11" width="16.33"/>
    <col collapsed="false" customWidth="true" hidden="false" outlineLevel="0" max="767" min="522" style="11" width="10.33"/>
    <col collapsed="false" customWidth="true" hidden="false" outlineLevel="0" max="768" min="768" style="11" width="3.11"/>
    <col collapsed="false" customWidth="true" hidden="false" outlineLevel="0" max="769" min="769" style="11" width="30.89"/>
    <col collapsed="false" customWidth="true" hidden="false" outlineLevel="0" max="770" min="770" style="11" width="36.45"/>
    <col collapsed="false" customWidth="true" hidden="false" outlineLevel="0" max="775" min="771" style="11" width="20.98"/>
    <col collapsed="false" customWidth="true" hidden="false" outlineLevel="0" max="776" min="776" style="11" width="14.11"/>
    <col collapsed="false" customWidth="true" hidden="false" outlineLevel="0" max="777" min="777" style="11" width="16.33"/>
    <col collapsed="false" customWidth="true" hidden="false" outlineLevel="0" max="1023" min="778" style="11" width="10.33"/>
    <col collapsed="false" customWidth="true" hidden="false" outlineLevel="0" max="1025" min="1024" style="1" width="10.33"/>
  </cols>
  <sheetData>
    <row r="2" customFormat="false" ht="12.75" hidden="false" customHeight="true" outlineLevel="0" collapsed="false">
      <c r="A2" s="12" t="s">
        <v>13</v>
      </c>
      <c r="B2" s="12"/>
      <c r="C2" s="12"/>
      <c r="D2" s="12"/>
      <c r="E2" s="12"/>
      <c r="F2" s="12"/>
      <c r="G2" s="13"/>
      <c r="H2" s="13"/>
    </row>
    <row r="4" customFormat="false" ht="14.4" hidden="false" customHeight="false" outlineLevel="0" collapsed="false">
      <c r="A4" s="14" t="s">
        <v>14</v>
      </c>
      <c r="B4" s="14"/>
      <c r="C4" s="15"/>
      <c r="D4" s="15"/>
      <c r="E4" s="15"/>
      <c r="F4" s="15"/>
    </row>
    <row r="5" customFormat="false" ht="14.4" hidden="false" customHeight="false" outlineLevel="0" collapsed="false">
      <c r="B5" s="16"/>
    </row>
    <row r="6" customFormat="false" ht="15" hidden="false" customHeight="true" outlineLevel="0" collapsed="false">
      <c r="B6" s="16" t="s">
        <v>15</v>
      </c>
    </row>
    <row r="7" s="11" customFormat="true" ht="38.25" hidden="false" customHeight="true" outlineLevel="0" collapsed="false">
      <c r="B7" s="17" t="s">
        <v>16</v>
      </c>
      <c r="C7" s="17" t="s">
        <v>17</v>
      </c>
      <c r="D7" s="17"/>
      <c r="E7" s="17" t="s">
        <v>18</v>
      </c>
      <c r="F7" s="17" t="s">
        <v>19</v>
      </c>
    </row>
    <row r="8" s="11" customFormat="true" ht="14.25" hidden="false" customHeight="true" outlineLevel="0" collapsed="false">
      <c r="B8" s="18" t="s">
        <v>20</v>
      </c>
      <c r="C8" s="19" t="n">
        <v>1</v>
      </c>
      <c r="D8" s="19"/>
      <c r="E8" s="20" t="n">
        <f aca="false">ENCARREGADO!I138</f>
        <v>5368.64</v>
      </c>
      <c r="F8" s="20" t="n">
        <f aca="false">ROUND(E8/(30*1200),2)</f>
        <v>0.15</v>
      </c>
    </row>
    <row r="9" s="11" customFormat="true" ht="10.5" hidden="false" customHeight="true" outlineLevel="0" collapsed="false">
      <c r="B9" s="18"/>
      <c r="C9" s="21" t="s">
        <v>21</v>
      </c>
      <c r="D9" s="21"/>
      <c r="E9" s="20"/>
      <c r="F9" s="20"/>
    </row>
    <row r="10" s="11" customFormat="true" ht="14.4" hidden="false" customHeight="false" outlineLevel="0" collapsed="false">
      <c r="B10" s="22" t="s">
        <v>22</v>
      </c>
      <c r="C10" s="23" t="n">
        <v>1200</v>
      </c>
      <c r="D10" s="23" t="n">
        <f aca="false">1/1200</f>
        <v>0.000833333333333333</v>
      </c>
      <c r="E10" s="22" t="n">
        <f aca="false">'SERV. INTERNO - PISOS '!I139</f>
        <v>5408.25</v>
      </c>
      <c r="F10" s="24" t="n">
        <f aca="false">ROUND(D10*E10,2)</f>
        <v>4.51</v>
      </c>
      <c r="H10" s="25"/>
    </row>
    <row r="11" s="11" customFormat="true" ht="14.4" hidden="false" customHeight="false" outlineLevel="0" collapsed="false"/>
    <row r="12" s="11" customFormat="true" ht="14.4" hidden="false" customHeight="false" outlineLevel="0" collapsed="false">
      <c r="B12" s="16" t="s">
        <v>23</v>
      </c>
    </row>
    <row r="13" s="11" customFormat="true" ht="38.25" hidden="false" customHeight="true" outlineLevel="0" collapsed="false">
      <c r="B13" s="17" t="s">
        <v>16</v>
      </c>
      <c r="C13" s="17" t="s">
        <v>17</v>
      </c>
      <c r="D13" s="17"/>
      <c r="E13" s="17" t="s">
        <v>18</v>
      </c>
      <c r="F13" s="17" t="s">
        <v>19</v>
      </c>
    </row>
    <row r="14" s="11" customFormat="true" ht="14.25" hidden="false" customHeight="true" outlineLevel="0" collapsed="false">
      <c r="B14" s="18" t="s">
        <v>20</v>
      </c>
      <c r="C14" s="19" t="n">
        <v>1</v>
      </c>
      <c r="D14" s="19"/>
      <c r="E14" s="20" t="n">
        <f aca="false">ENCARREGADO!I138</f>
        <v>5368.64</v>
      </c>
      <c r="F14" s="20" t="n">
        <f aca="false">ROUND(E14/(30*450),2)</f>
        <v>0.4</v>
      </c>
    </row>
    <row r="15" s="11" customFormat="true" ht="14.25" hidden="false" customHeight="true" outlineLevel="0" collapsed="false">
      <c r="B15" s="18"/>
      <c r="C15" s="21" t="s">
        <v>24</v>
      </c>
      <c r="D15" s="21"/>
      <c r="E15" s="20"/>
      <c r="F15" s="20"/>
    </row>
    <row r="16" s="11" customFormat="true" ht="14.4" hidden="false" customHeight="false" outlineLevel="0" collapsed="false">
      <c r="B16" s="22" t="s">
        <v>25</v>
      </c>
      <c r="C16" s="23" t="n">
        <v>450</v>
      </c>
      <c r="D16" s="23" t="n">
        <f aca="false">1/450</f>
        <v>0.00222222222222222</v>
      </c>
      <c r="E16" s="22" t="n">
        <f aca="false">'SERV. INTERNO LABORATORIOS 20%'!I139</f>
        <v>6238.14</v>
      </c>
      <c r="F16" s="24" t="n">
        <f aca="false">ROUND(D16*E16,2)</f>
        <v>13.86</v>
      </c>
    </row>
    <row r="17" s="11" customFormat="true" ht="14.4" hidden="false" customHeight="false" outlineLevel="0" collapsed="false"/>
    <row r="18" s="11" customFormat="true" ht="14.4" hidden="false" customHeight="false" outlineLevel="0" collapsed="false">
      <c r="B18" s="16" t="s">
        <v>26</v>
      </c>
    </row>
    <row r="19" s="11" customFormat="true" ht="38.25" hidden="false" customHeight="true" outlineLevel="0" collapsed="false">
      <c r="B19" s="17" t="s">
        <v>16</v>
      </c>
      <c r="C19" s="17" t="s">
        <v>17</v>
      </c>
      <c r="D19" s="17"/>
      <c r="E19" s="17" t="s">
        <v>18</v>
      </c>
      <c r="F19" s="17" t="s">
        <v>19</v>
      </c>
    </row>
    <row r="20" s="11" customFormat="true" ht="14.25" hidden="false" customHeight="true" outlineLevel="0" collapsed="false">
      <c r="B20" s="18" t="s">
        <v>20</v>
      </c>
      <c r="C20" s="19" t="n">
        <v>1</v>
      </c>
      <c r="D20" s="19"/>
      <c r="E20" s="20" t="n">
        <f aca="false">ENCARREGADO!I138</f>
        <v>5368.64</v>
      </c>
      <c r="F20" s="20" t="n">
        <f aca="false">ROUND(E20/(30*1500),2)</f>
        <v>0.12</v>
      </c>
    </row>
    <row r="21" s="11" customFormat="true" ht="14.25" hidden="false" customHeight="true" outlineLevel="0" collapsed="false">
      <c r="B21" s="18"/>
      <c r="C21" s="21" t="s">
        <v>27</v>
      </c>
      <c r="D21" s="21"/>
      <c r="E21" s="20"/>
      <c r="F21" s="20"/>
    </row>
    <row r="22" s="11" customFormat="true" ht="14.4" hidden="false" customHeight="false" outlineLevel="0" collapsed="false">
      <c r="B22" s="22" t="s">
        <v>22</v>
      </c>
      <c r="C22" s="23" t="n">
        <v>1500</v>
      </c>
      <c r="D22" s="23" t="n">
        <f aca="false">1/1500</f>
        <v>0.000666666666666667</v>
      </c>
      <c r="E22" s="22" t="n">
        <f aca="false">'SERV. INTERNO - ALMOXARIFADO'!I139</f>
        <v>5408.25</v>
      </c>
      <c r="F22" s="24" t="n">
        <f aca="false">ROUND(D22*E22,2)</f>
        <v>3.61</v>
      </c>
    </row>
    <row r="23" s="11" customFormat="true" ht="14.4" hidden="false" customHeight="false" outlineLevel="0" collapsed="false"/>
    <row r="24" s="11" customFormat="true" ht="14.4" hidden="false" customHeight="false" outlineLevel="0" collapsed="false">
      <c r="B24" s="16" t="s">
        <v>28</v>
      </c>
    </row>
    <row r="25" s="11" customFormat="true" ht="38.25" hidden="false" customHeight="true" outlineLevel="0" collapsed="false">
      <c r="B25" s="17" t="s">
        <v>16</v>
      </c>
      <c r="C25" s="17" t="s">
        <v>17</v>
      </c>
      <c r="D25" s="17"/>
      <c r="E25" s="17" t="s">
        <v>18</v>
      </c>
      <c r="F25" s="17" t="s">
        <v>19</v>
      </c>
    </row>
    <row r="26" s="11" customFormat="true" ht="14.25" hidden="false" customHeight="true" outlineLevel="0" collapsed="false">
      <c r="B26" s="18" t="s">
        <v>20</v>
      </c>
      <c r="C26" s="19" t="n">
        <v>1</v>
      </c>
      <c r="D26" s="19"/>
      <c r="E26" s="20" t="n">
        <f aca="false">ENCARREGADO!I138</f>
        <v>5368.64</v>
      </c>
      <c r="F26" s="20" t="n">
        <f aca="false">ROUND(E26/(30*1500),2)</f>
        <v>0.12</v>
      </c>
    </row>
    <row r="27" s="11" customFormat="true" ht="14.25" hidden="false" customHeight="true" outlineLevel="0" collapsed="false">
      <c r="B27" s="18"/>
      <c r="C27" s="21" t="s">
        <v>27</v>
      </c>
      <c r="D27" s="21"/>
      <c r="E27" s="20"/>
      <c r="F27" s="20"/>
    </row>
    <row r="28" s="11" customFormat="true" ht="14.4" hidden="false" customHeight="false" outlineLevel="0" collapsed="false">
      <c r="B28" s="22" t="s">
        <v>25</v>
      </c>
      <c r="C28" s="23" t="n">
        <v>1500</v>
      </c>
      <c r="D28" s="23" t="n">
        <f aca="false">1/1500</f>
        <v>0.000666666666666667</v>
      </c>
      <c r="E28" s="22" t="n">
        <f aca="false">'SERV. INTERNO ALMOXARIFADO 20%'!I139</f>
        <v>6238.14</v>
      </c>
      <c r="F28" s="24" t="n">
        <f aca="false">ROUND(D28*E28,2)</f>
        <v>4.16</v>
      </c>
    </row>
    <row r="29" s="11" customFormat="true" ht="14.4" hidden="false" customHeight="false" outlineLevel="0" collapsed="false"/>
    <row r="30" s="11" customFormat="true" ht="14.4" hidden="false" customHeight="false" outlineLevel="0" collapsed="false">
      <c r="B30" s="16" t="s">
        <v>29</v>
      </c>
    </row>
    <row r="31" s="11" customFormat="true" ht="38.25" hidden="false" customHeight="true" outlineLevel="0" collapsed="false">
      <c r="B31" s="17" t="s">
        <v>16</v>
      </c>
      <c r="C31" s="17" t="s">
        <v>17</v>
      </c>
      <c r="D31" s="17"/>
      <c r="E31" s="17" t="s">
        <v>18</v>
      </c>
      <c r="F31" s="17" t="s">
        <v>19</v>
      </c>
    </row>
    <row r="32" s="11" customFormat="true" ht="14.25" hidden="false" customHeight="true" outlineLevel="0" collapsed="false">
      <c r="B32" s="18" t="s">
        <v>20</v>
      </c>
      <c r="C32" s="19" t="n">
        <v>1</v>
      </c>
      <c r="D32" s="19"/>
      <c r="E32" s="20" t="n">
        <f aca="false">ENCARREGADO!I138</f>
        <v>5368.64</v>
      </c>
      <c r="F32" s="20" t="n">
        <f aca="false">ROUND(E32/(30*1500),2)</f>
        <v>0.12</v>
      </c>
    </row>
    <row r="33" s="11" customFormat="true" ht="14.25" hidden="false" customHeight="true" outlineLevel="0" collapsed="false">
      <c r="B33" s="18"/>
      <c r="C33" s="21" t="s">
        <v>27</v>
      </c>
      <c r="D33" s="21"/>
      <c r="E33" s="20"/>
      <c r="F33" s="20"/>
    </row>
    <row r="34" s="11" customFormat="true" ht="14.4" hidden="false" customHeight="false" outlineLevel="0" collapsed="false">
      <c r="B34" s="22" t="s">
        <v>22</v>
      </c>
      <c r="C34" s="23" t="n">
        <v>1500</v>
      </c>
      <c r="D34" s="23" t="n">
        <f aca="false">1/1500</f>
        <v>0.000666666666666667</v>
      </c>
      <c r="E34" s="22" t="n">
        <f aca="false">'SERV. INTERNO - SAGUÃO, HALL'!I139</f>
        <v>5408.25</v>
      </c>
      <c r="F34" s="24" t="n">
        <f aca="false">ROUND(D34*E34,2)</f>
        <v>3.61</v>
      </c>
    </row>
    <row r="35" s="11" customFormat="true" ht="14.4" hidden="false" customHeight="false" outlineLevel="0" collapsed="false"/>
    <row r="36" s="11" customFormat="true" ht="14.4" hidden="false" customHeight="false" outlineLevel="0" collapsed="false">
      <c r="B36" s="16" t="s">
        <v>30</v>
      </c>
    </row>
    <row r="37" s="11" customFormat="true" ht="38.25" hidden="false" customHeight="true" outlineLevel="0" collapsed="false">
      <c r="B37" s="17" t="s">
        <v>16</v>
      </c>
      <c r="C37" s="17" t="s">
        <v>17</v>
      </c>
      <c r="D37" s="17"/>
      <c r="E37" s="17" t="s">
        <v>18</v>
      </c>
      <c r="F37" s="17" t="s">
        <v>19</v>
      </c>
    </row>
    <row r="38" s="11" customFormat="true" ht="14.25" hidden="false" customHeight="true" outlineLevel="0" collapsed="false">
      <c r="B38" s="18" t="s">
        <v>20</v>
      </c>
      <c r="C38" s="19" t="n">
        <v>1</v>
      </c>
      <c r="D38" s="19"/>
      <c r="E38" s="20" t="n">
        <f aca="false">ENCARREGADO!I138</f>
        <v>5368.64</v>
      </c>
      <c r="F38" s="20" t="n">
        <f aca="false">ROUND(E38/(30*200),2)</f>
        <v>0.89</v>
      </c>
    </row>
    <row r="39" s="11" customFormat="true" ht="14.25" hidden="false" customHeight="true" outlineLevel="0" collapsed="false">
      <c r="B39" s="18"/>
      <c r="C39" s="21" t="s">
        <v>31</v>
      </c>
      <c r="D39" s="21"/>
      <c r="E39" s="20"/>
      <c r="F39" s="20"/>
    </row>
    <row r="40" s="11" customFormat="true" ht="14.4" hidden="false" customHeight="false" outlineLevel="0" collapsed="false">
      <c r="B40" s="22" t="s">
        <v>32</v>
      </c>
      <c r="C40" s="23" t="n">
        <v>200</v>
      </c>
      <c r="D40" s="23" t="n">
        <f aca="false">1/200</f>
        <v>0.005</v>
      </c>
      <c r="E40" s="22" t="n">
        <f aca="false">'SERV. INTERNO BANHEIROS 40%'!I139</f>
        <v>6989.18</v>
      </c>
      <c r="F40" s="24" t="n">
        <f aca="false">ROUND(D40*E40,2)</f>
        <v>34.95</v>
      </c>
    </row>
    <row r="41" s="11" customFormat="true" ht="14.4" hidden="false" customHeight="false" outlineLevel="0" collapsed="false">
      <c r="E41" s="11" t="s">
        <v>33</v>
      </c>
    </row>
    <row r="42" s="11" customFormat="true" ht="14.4" hidden="false" customHeight="false" outlineLevel="0" collapsed="false">
      <c r="B42" s="16" t="s">
        <v>34</v>
      </c>
    </row>
    <row r="43" s="11" customFormat="true" ht="38.25" hidden="false" customHeight="true" outlineLevel="0" collapsed="false">
      <c r="B43" s="17" t="s">
        <v>16</v>
      </c>
      <c r="C43" s="17" t="s">
        <v>17</v>
      </c>
      <c r="D43" s="17"/>
      <c r="E43" s="17" t="s">
        <v>18</v>
      </c>
      <c r="F43" s="17" t="s">
        <v>19</v>
      </c>
    </row>
    <row r="44" s="11" customFormat="true" ht="14.25" hidden="false" customHeight="true" outlineLevel="0" collapsed="false">
      <c r="B44" s="18" t="s">
        <v>20</v>
      </c>
      <c r="C44" s="19" t="n">
        <v>1</v>
      </c>
      <c r="D44" s="19"/>
      <c r="E44" s="20" t="n">
        <f aca="false">ENCARREGADO!I138</f>
        <v>5368.64</v>
      </c>
      <c r="F44" s="20" t="n">
        <f aca="false">ROUND(E44/(30*1200),2)</f>
        <v>0.15</v>
      </c>
    </row>
    <row r="45" s="11" customFormat="true" ht="14.25" hidden="false" customHeight="true" outlineLevel="0" collapsed="false">
      <c r="B45" s="18"/>
      <c r="C45" s="21" t="s">
        <v>35</v>
      </c>
      <c r="D45" s="21"/>
      <c r="E45" s="20"/>
      <c r="F45" s="20"/>
    </row>
    <row r="46" s="11" customFormat="true" ht="14.4" hidden="false" customHeight="false" outlineLevel="0" collapsed="false">
      <c r="B46" s="22" t="s">
        <v>22</v>
      </c>
      <c r="C46" s="23" t="n">
        <v>1800</v>
      </c>
      <c r="D46" s="23" t="n">
        <f aca="false">1/1800</f>
        <v>0.000555555555555556</v>
      </c>
      <c r="E46" s="22" t="n">
        <f aca="false">'SERV. EXTERNO - PISOS'!I139</f>
        <v>4320.71333333333</v>
      </c>
      <c r="F46" s="24" t="n">
        <f aca="false">ROUND(D46*E46,2)</f>
        <v>2.4</v>
      </c>
    </row>
    <row r="47" s="11" customFormat="true" ht="14.4" hidden="false" customHeight="false" outlineLevel="0" collapsed="false"/>
    <row r="48" s="11" customFormat="true" ht="14.4" hidden="false" customHeight="false" outlineLevel="0" collapsed="false">
      <c r="B48" s="16" t="s">
        <v>36</v>
      </c>
    </row>
    <row r="49" s="11" customFormat="true" ht="38.25" hidden="false" customHeight="true" outlineLevel="0" collapsed="false">
      <c r="B49" s="17" t="s">
        <v>16</v>
      </c>
      <c r="C49" s="17" t="s">
        <v>17</v>
      </c>
      <c r="D49" s="17"/>
      <c r="E49" s="17" t="s">
        <v>18</v>
      </c>
      <c r="F49" s="17" t="s">
        <v>19</v>
      </c>
    </row>
    <row r="50" s="11" customFormat="true" ht="14.25" hidden="false" customHeight="true" outlineLevel="0" collapsed="false">
      <c r="B50" s="18" t="s">
        <v>20</v>
      </c>
      <c r="C50" s="19" t="n">
        <v>1</v>
      </c>
      <c r="D50" s="19"/>
      <c r="E50" s="20" t="n">
        <f aca="false">ENCARREGADO!I138</f>
        <v>5368.64</v>
      </c>
      <c r="F50" s="20" t="n">
        <f aca="false">ROUND(E50/(30*6000),2)</f>
        <v>0.03</v>
      </c>
    </row>
    <row r="51" s="11" customFormat="true" ht="14.25" hidden="false" customHeight="true" outlineLevel="0" collapsed="false">
      <c r="B51" s="18"/>
      <c r="C51" s="21" t="s">
        <v>37</v>
      </c>
      <c r="D51" s="21"/>
      <c r="E51" s="20"/>
      <c r="F51" s="20"/>
    </row>
    <row r="52" s="11" customFormat="true" ht="14.4" hidden="false" customHeight="false" outlineLevel="0" collapsed="false">
      <c r="B52" s="22" t="s">
        <v>22</v>
      </c>
      <c r="C52" s="23" t="n">
        <v>6000</v>
      </c>
      <c r="D52" s="23" t="n">
        <f aca="false">1/6000</f>
        <v>0.000166666666666667</v>
      </c>
      <c r="E52" s="22" t="n">
        <f aca="false">'SERV. EXTERNO - VARRIÇÃO'!I139</f>
        <v>4320.71333333333</v>
      </c>
      <c r="F52" s="24" t="n">
        <f aca="false">ROUND(D52*E52,2)</f>
        <v>0.72</v>
      </c>
    </row>
    <row r="53" s="11" customFormat="true" ht="14.4" hidden="false" customHeight="false" outlineLevel="0" collapsed="false"/>
    <row r="54" s="11" customFormat="true" ht="14.4" hidden="false" customHeight="false" outlineLevel="0" collapsed="false">
      <c r="B54" s="16" t="s">
        <v>38</v>
      </c>
    </row>
    <row r="55" s="11" customFormat="true" ht="38.25" hidden="false" customHeight="true" outlineLevel="0" collapsed="false">
      <c r="B55" s="17" t="s">
        <v>16</v>
      </c>
      <c r="C55" s="17" t="s">
        <v>17</v>
      </c>
      <c r="D55" s="17"/>
      <c r="E55" s="17" t="s">
        <v>18</v>
      </c>
      <c r="F55" s="17" t="s">
        <v>19</v>
      </c>
    </row>
    <row r="56" s="11" customFormat="true" ht="14.25" hidden="false" customHeight="true" outlineLevel="0" collapsed="false">
      <c r="B56" s="18" t="s">
        <v>20</v>
      </c>
      <c r="C56" s="19" t="n">
        <v>1</v>
      </c>
      <c r="D56" s="19"/>
      <c r="E56" s="20" t="n">
        <f aca="false">ENCARREGADO!I138</f>
        <v>5368.64</v>
      </c>
      <c r="F56" s="20" t="n">
        <f aca="false">ROUND(E56/(30*1800),2)</f>
        <v>0.1</v>
      </c>
    </row>
    <row r="57" s="11" customFormat="true" ht="14.25" hidden="false" customHeight="true" outlineLevel="0" collapsed="false">
      <c r="B57" s="18"/>
      <c r="C57" s="21" t="s">
        <v>35</v>
      </c>
      <c r="D57" s="21"/>
      <c r="E57" s="20"/>
      <c r="F57" s="20"/>
    </row>
    <row r="58" s="11" customFormat="true" ht="14.4" hidden="false" customHeight="false" outlineLevel="0" collapsed="false">
      <c r="B58" s="22" t="s">
        <v>22</v>
      </c>
      <c r="C58" s="23" t="n">
        <v>1800</v>
      </c>
      <c r="D58" s="23" t="n">
        <f aca="false">1/1800</f>
        <v>0.000555555555555556</v>
      </c>
      <c r="E58" s="22" t="n">
        <f aca="false">'SERV. EXTERNO PÁTIOS ALTA FREQ.'!I139</f>
        <v>4320.71333333333</v>
      </c>
      <c r="F58" s="24" t="n">
        <f aca="false">ROUND(D58*E58,2)</f>
        <v>2.4</v>
      </c>
    </row>
    <row r="59" s="11" customFormat="true" ht="14.4" hidden="false" customHeight="false" outlineLevel="0" collapsed="false"/>
    <row r="60" s="11" customFormat="true" ht="14.4" hidden="false" customHeight="false" outlineLevel="0" collapsed="false">
      <c r="B60" s="16" t="s">
        <v>39</v>
      </c>
    </row>
    <row r="61" s="11" customFormat="true" ht="38.25" hidden="false" customHeight="true" outlineLevel="0" collapsed="false">
      <c r="B61" s="17" t="s">
        <v>16</v>
      </c>
      <c r="C61" s="17" t="s">
        <v>17</v>
      </c>
      <c r="D61" s="17"/>
      <c r="E61" s="17" t="s">
        <v>18</v>
      </c>
      <c r="F61" s="17" t="s">
        <v>19</v>
      </c>
    </row>
    <row r="62" s="11" customFormat="true" ht="14.25" hidden="false" customHeight="true" outlineLevel="0" collapsed="false">
      <c r="B62" s="18" t="s">
        <v>20</v>
      </c>
      <c r="C62" s="19" t="n">
        <v>1</v>
      </c>
      <c r="D62" s="19"/>
      <c r="E62" s="20" t="n">
        <f aca="false">ENCARREGADO!I138</f>
        <v>5368.64</v>
      </c>
      <c r="F62" s="20" t="n">
        <f aca="false">ROUND(E62/(30*2700),2)</f>
        <v>0.07</v>
      </c>
    </row>
    <row r="63" s="11" customFormat="true" ht="14.25" hidden="false" customHeight="true" outlineLevel="0" collapsed="false">
      <c r="B63" s="18"/>
      <c r="C63" s="21" t="s">
        <v>40</v>
      </c>
      <c r="D63" s="21"/>
      <c r="E63" s="20"/>
      <c r="F63" s="20"/>
    </row>
    <row r="64" s="11" customFormat="true" ht="14.4" hidden="false" customHeight="false" outlineLevel="0" collapsed="false">
      <c r="B64" s="22" t="s">
        <v>22</v>
      </c>
      <c r="C64" s="23" t="n">
        <v>2700</v>
      </c>
      <c r="D64" s="23" t="n">
        <f aca="false">1/2700</f>
        <v>0.00037037037037037</v>
      </c>
      <c r="E64" s="22" t="n">
        <f aca="false">'SERV. EXTERNO PÁTIOS BAIXA FREQ'!I139</f>
        <v>4320.71333333333</v>
      </c>
      <c r="F64" s="24" t="n">
        <f aca="false">ROUND(D64*E64,2)</f>
        <v>1.6</v>
      </c>
    </row>
    <row r="65" s="11" customFormat="true" ht="14.4" hidden="false" customHeight="false" outlineLevel="0" collapsed="false"/>
    <row r="66" s="11" customFormat="true" ht="14.4" hidden="false" customHeight="false" outlineLevel="0" collapsed="false">
      <c r="B66" s="16" t="s">
        <v>41</v>
      </c>
    </row>
    <row r="67" s="11" customFormat="true" ht="38.25" hidden="false" customHeight="true" outlineLevel="0" collapsed="false">
      <c r="B67" s="17" t="s">
        <v>16</v>
      </c>
      <c r="C67" s="17" t="s">
        <v>17</v>
      </c>
      <c r="D67" s="17"/>
      <c r="E67" s="17" t="s">
        <v>18</v>
      </c>
      <c r="F67" s="17" t="s">
        <v>19</v>
      </c>
    </row>
    <row r="68" s="11" customFormat="true" ht="14.25" hidden="false" customHeight="true" outlineLevel="0" collapsed="false">
      <c r="B68" s="18" t="s">
        <v>20</v>
      </c>
      <c r="C68" s="19" t="n">
        <v>1</v>
      </c>
      <c r="D68" s="19"/>
      <c r="E68" s="20" t="n">
        <f aca="false">ENCARREGADO!I138</f>
        <v>5368.64</v>
      </c>
      <c r="F68" s="20" t="n">
        <f aca="false">ROUNDUP(E68/(30*100000),2)</f>
        <v>0.01</v>
      </c>
      <c r="H68" s="25"/>
    </row>
    <row r="69" s="11" customFormat="true" ht="14.25" hidden="false" customHeight="true" outlineLevel="0" collapsed="false">
      <c r="B69" s="18"/>
      <c r="C69" s="21" t="s">
        <v>42</v>
      </c>
      <c r="D69" s="21"/>
      <c r="E69" s="20"/>
      <c r="F69" s="20"/>
      <c r="H69" s="25"/>
    </row>
    <row r="70" s="11" customFormat="true" ht="14.4" hidden="false" customHeight="false" outlineLevel="0" collapsed="false">
      <c r="B70" s="22" t="s">
        <v>22</v>
      </c>
      <c r="C70" s="23" t="n">
        <v>100000</v>
      </c>
      <c r="D70" s="23" t="n">
        <f aca="false">1/100000</f>
        <v>1E-005</v>
      </c>
      <c r="E70" s="22" t="n">
        <f aca="false">'SERV. EXTERNO COLETA'!I139</f>
        <v>4320.71333333333</v>
      </c>
      <c r="F70" s="24" t="n">
        <f aca="false">ROUND(D70*E70,2)</f>
        <v>0.04</v>
      </c>
      <c r="H70" s="25"/>
    </row>
    <row r="71" s="11" customFormat="true" ht="14.4" hidden="false" customHeight="false" outlineLevel="0" collapsed="false">
      <c r="H71" s="25"/>
    </row>
    <row r="72" customFormat="false" ht="14.4" hidden="false" customHeight="false" outlineLevel="0" collapsed="false">
      <c r="B72" s="26"/>
      <c r="C72" s="26"/>
      <c r="D72" s="26"/>
      <c r="E72" s="26"/>
      <c r="F72" s="26"/>
      <c r="G72" s="26"/>
      <c r="H72" s="27"/>
    </row>
    <row r="73" customFormat="false" ht="15" hidden="false" customHeight="true" outlineLevel="0" collapsed="false">
      <c r="A73" s="28" t="s">
        <v>43</v>
      </c>
      <c r="B73" s="28"/>
      <c r="C73" s="29"/>
      <c r="D73" s="29"/>
      <c r="E73" s="29"/>
      <c r="F73" s="29"/>
      <c r="G73" s="29"/>
      <c r="I73" s="25"/>
    </row>
    <row r="74" customFormat="false" ht="14.4" hidden="false" customHeight="false" outlineLevel="0" collapsed="false">
      <c r="I74" s="30"/>
    </row>
    <row r="75" customFormat="false" ht="38.25" hidden="false" customHeight="true" outlineLevel="0" collapsed="false">
      <c r="B75" s="17" t="s">
        <v>44</v>
      </c>
      <c r="C75" s="17" t="s">
        <v>16</v>
      </c>
      <c r="D75" s="17"/>
      <c r="E75" s="17" t="s">
        <v>45</v>
      </c>
      <c r="F75" s="17" t="s">
        <v>46</v>
      </c>
      <c r="G75" s="17" t="s">
        <v>47</v>
      </c>
    </row>
    <row r="76" customFormat="false" ht="14.25" hidden="false" customHeight="true" outlineLevel="0" collapsed="false">
      <c r="B76" s="31" t="s">
        <v>15</v>
      </c>
      <c r="C76" s="21" t="s">
        <v>48</v>
      </c>
      <c r="D76" s="21"/>
      <c r="E76" s="32" t="n">
        <f aca="false">F8</f>
        <v>0.15</v>
      </c>
      <c r="F76" s="33" t="n">
        <f aca="false">F116</f>
        <v>18498.43</v>
      </c>
      <c r="G76" s="34" t="n">
        <f aca="false">ROUND(E76*F76,2)</f>
        <v>2774.76</v>
      </c>
    </row>
    <row r="77" customFormat="false" ht="15" hidden="false" customHeight="true" outlineLevel="0" collapsed="false">
      <c r="B77" s="31"/>
      <c r="C77" s="35" t="s">
        <v>49</v>
      </c>
      <c r="D77" s="35"/>
      <c r="E77" s="36" t="n">
        <f aca="false">F10</f>
        <v>4.51</v>
      </c>
      <c r="F77" s="33" t="n">
        <f aca="false">F116</f>
        <v>18498.43</v>
      </c>
      <c r="G77" s="34" t="n">
        <f aca="false">ROUND(E77*F77,2)</f>
        <v>83427.92</v>
      </c>
    </row>
    <row r="78" customFormat="false" ht="12" hidden="false" customHeight="true" outlineLevel="0" collapsed="false">
      <c r="B78" s="37"/>
      <c r="C78" s="38"/>
      <c r="D78" s="38"/>
      <c r="E78" s="39"/>
      <c r="F78" s="37"/>
      <c r="G78" s="40"/>
    </row>
    <row r="79" customFormat="false" ht="15" hidden="false" customHeight="true" outlineLevel="0" collapsed="false">
      <c r="B79" s="31" t="s">
        <v>50</v>
      </c>
      <c r="C79" s="35" t="s">
        <v>48</v>
      </c>
      <c r="D79" s="35"/>
      <c r="E79" s="36" t="n">
        <f aca="false">F14</f>
        <v>0.4</v>
      </c>
      <c r="F79" s="33" t="n">
        <f aca="false">F148</f>
        <v>2733.58</v>
      </c>
      <c r="G79" s="34" t="n">
        <f aca="false">ROUND(E79*F79,2)</f>
        <v>1093.43</v>
      </c>
    </row>
    <row r="80" customFormat="false" ht="25.5" hidden="false" customHeight="true" outlineLevel="0" collapsed="false">
      <c r="B80" s="31"/>
      <c r="C80" s="21" t="s">
        <v>49</v>
      </c>
      <c r="D80" s="21"/>
      <c r="E80" s="36" t="n">
        <f aca="false">F16</f>
        <v>13.86</v>
      </c>
      <c r="F80" s="33" t="n">
        <f aca="false">F148</f>
        <v>2733.58</v>
      </c>
      <c r="G80" s="34" t="n">
        <f aca="false">ROUND(E80*F80,2)</f>
        <v>37887.42</v>
      </c>
      <c r="J80" s="41"/>
      <c r="K80" s="41"/>
    </row>
    <row r="81" customFormat="false" ht="12.75" hidden="false" customHeight="true" outlineLevel="0" collapsed="false">
      <c r="B81" s="37"/>
      <c r="C81" s="38"/>
      <c r="D81" s="38"/>
      <c r="E81" s="39"/>
      <c r="F81" s="37"/>
      <c r="G81" s="40"/>
      <c r="J81" s="41"/>
      <c r="K81" s="41"/>
    </row>
    <row r="82" customFormat="false" ht="16.5" hidden="false" customHeight="true" outlineLevel="0" collapsed="false">
      <c r="B82" s="42" t="s">
        <v>26</v>
      </c>
      <c r="C82" s="21" t="s">
        <v>48</v>
      </c>
      <c r="D82" s="21"/>
      <c r="E82" s="36" t="n">
        <f aca="false">F20</f>
        <v>0.12</v>
      </c>
      <c r="F82" s="43" t="n">
        <v>2379.14</v>
      </c>
      <c r="G82" s="34" t="n">
        <f aca="false">ROUND(E82*F82,2)</f>
        <v>285.5</v>
      </c>
      <c r="J82" s="41"/>
      <c r="K82" s="41"/>
    </row>
    <row r="83" customFormat="false" ht="14.25" hidden="false" customHeight="true" outlineLevel="0" collapsed="false">
      <c r="B83" s="42"/>
      <c r="C83" s="21" t="s">
        <v>49</v>
      </c>
      <c r="D83" s="21"/>
      <c r="E83" s="36" t="n">
        <f aca="false">F22</f>
        <v>3.61</v>
      </c>
      <c r="F83" s="43" t="n">
        <v>2379.14</v>
      </c>
      <c r="G83" s="34" t="n">
        <f aca="false">ROUND(E83*F83,2)</f>
        <v>8588.7</v>
      </c>
      <c r="J83" s="44"/>
      <c r="K83" s="41"/>
    </row>
    <row r="84" customFormat="false" ht="11.25" hidden="false" customHeight="true" outlineLevel="0" collapsed="false">
      <c r="B84" s="45"/>
      <c r="C84" s="38"/>
      <c r="D84" s="38"/>
      <c r="E84" s="39"/>
      <c r="F84" s="45"/>
      <c r="G84" s="40"/>
      <c r="J84" s="44"/>
      <c r="K84" s="41"/>
    </row>
    <row r="85" customFormat="false" ht="14.25" hidden="false" customHeight="true" outlineLevel="0" collapsed="false">
      <c r="B85" s="46" t="s">
        <v>51</v>
      </c>
      <c r="C85" s="21" t="s">
        <v>48</v>
      </c>
      <c r="D85" s="21"/>
      <c r="E85" s="36" t="n">
        <f aca="false">F26</f>
        <v>0.12</v>
      </c>
      <c r="F85" s="47" t="n">
        <f aca="false">F184</f>
        <v>69.51</v>
      </c>
      <c r="G85" s="34" t="n">
        <f aca="false">ROUND(E85*F85,2)</f>
        <v>8.34</v>
      </c>
      <c r="J85" s="44"/>
      <c r="K85" s="41"/>
    </row>
    <row r="86" customFormat="false" ht="28.5" hidden="false" customHeight="true" outlineLevel="0" collapsed="false">
      <c r="B86" s="46"/>
      <c r="C86" s="21" t="s">
        <v>49</v>
      </c>
      <c r="D86" s="21"/>
      <c r="E86" s="36" t="n">
        <f aca="false">F28</f>
        <v>4.16</v>
      </c>
      <c r="F86" s="47" t="n">
        <f aca="false">F184</f>
        <v>69.51</v>
      </c>
      <c r="G86" s="34" t="n">
        <f aca="false">ROUND(E86*F86,2)</f>
        <v>289.16</v>
      </c>
      <c r="J86" s="44"/>
      <c r="K86" s="41"/>
    </row>
    <row r="87" customFormat="false" ht="12" hidden="false" customHeight="true" outlineLevel="0" collapsed="false">
      <c r="B87" s="48"/>
      <c r="C87" s="38"/>
      <c r="D87" s="38"/>
      <c r="E87" s="39"/>
      <c r="F87" s="48"/>
      <c r="G87" s="40"/>
      <c r="J87" s="44"/>
      <c r="K87" s="41"/>
    </row>
    <row r="88" customFormat="false" ht="21" hidden="false" customHeight="true" outlineLevel="0" collapsed="false">
      <c r="B88" s="42" t="s">
        <v>52</v>
      </c>
      <c r="C88" s="21" t="s">
        <v>48</v>
      </c>
      <c r="D88" s="21"/>
      <c r="E88" s="36" t="n">
        <f aca="false">F32</f>
        <v>0.12</v>
      </c>
      <c r="F88" s="43" t="n">
        <f aca="false">F196</f>
        <v>5131.99</v>
      </c>
      <c r="G88" s="34" t="n">
        <f aca="false">ROUND(E88*F88,2)</f>
        <v>615.84</v>
      </c>
      <c r="J88" s="44"/>
      <c r="K88" s="41"/>
    </row>
    <row r="89" customFormat="false" ht="25.5" hidden="false" customHeight="true" outlineLevel="0" collapsed="false">
      <c r="B89" s="42"/>
      <c r="C89" s="21" t="s">
        <v>49</v>
      </c>
      <c r="D89" s="21"/>
      <c r="E89" s="36" t="n">
        <f aca="false">F34</f>
        <v>3.61</v>
      </c>
      <c r="F89" s="43" t="n">
        <f aca="false">F196</f>
        <v>5131.99</v>
      </c>
      <c r="G89" s="34" t="n">
        <f aca="false">ROUND(E89*F89,2)</f>
        <v>18526.48</v>
      </c>
      <c r="J89" s="44"/>
      <c r="K89" s="41"/>
    </row>
    <row r="90" customFormat="false" ht="12.75" hidden="false" customHeight="true" outlineLevel="0" collapsed="false">
      <c r="B90" s="45"/>
      <c r="C90" s="38"/>
      <c r="D90" s="38"/>
      <c r="E90" s="39"/>
      <c r="F90" s="45"/>
      <c r="G90" s="40"/>
      <c r="J90" s="44"/>
      <c r="K90" s="41"/>
    </row>
    <row r="91" customFormat="false" ht="25.5" hidden="false" customHeight="true" outlineLevel="0" collapsed="false">
      <c r="B91" s="42" t="s">
        <v>53</v>
      </c>
      <c r="C91" s="21" t="s">
        <v>48</v>
      </c>
      <c r="D91" s="21"/>
      <c r="E91" s="36" t="n">
        <f aca="false">F38</f>
        <v>0.89</v>
      </c>
      <c r="F91" s="43" t="n">
        <f aca="false">F212</f>
        <v>1153.16</v>
      </c>
      <c r="G91" s="34" t="n">
        <f aca="false">ROUND(E91*F91,2)</f>
        <v>1026.31</v>
      </c>
      <c r="J91" s="44"/>
      <c r="K91" s="41"/>
    </row>
    <row r="92" customFormat="false" ht="25.5" hidden="false" customHeight="true" outlineLevel="0" collapsed="false">
      <c r="B92" s="42"/>
      <c r="C92" s="21" t="s">
        <v>49</v>
      </c>
      <c r="D92" s="21"/>
      <c r="E92" s="36" t="n">
        <f aca="false">F40</f>
        <v>34.95</v>
      </c>
      <c r="F92" s="43" t="n">
        <f aca="false">F212</f>
        <v>1153.16</v>
      </c>
      <c r="G92" s="34" t="n">
        <f aca="false">ROUND(E92*F92,2)</f>
        <v>40302.94</v>
      </c>
      <c r="J92" s="44"/>
      <c r="K92" s="41"/>
    </row>
    <row r="93" customFormat="false" ht="11.25" hidden="false" customHeight="true" outlineLevel="0" collapsed="false">
      <c r="B93" s="48"/>
      <c r="C93" s="38"/>
      <c r="D93" s="38"/>
      <c r="E93" s="39"/>
      <c r="F93" s="48"/>
      <c r="G93" s="40"/>
      <c r="J93" s="44"/>
      <c r="K93" s="41"/>
    </row>
    <row r="94" customFormat="false" ht="25.5" hidden="false" customHeight="true" outlineLevel="0" collapsed="false">
      <c r="B94" s="42" t="s">
        <v>54</v>
      </c>
      <c r="C94" s="21" t="s">
        <v>48</v>
      </c>
      <c r="D94" s="21"/>
      <c r="E94" s="36" t="n">
        <f aca="false">F44</f>
        <v>0.15</v>
      </c>
      <c r="F94" s="43" t="n">
        <f aca="false">F240</f>
        <v>4505.65</v>
      </c>
      <c r="G94" s="34" t="n">
        <f aca="false">ROUND(E94*F94,2)</f>
        <v>675.85</v>
      </c>
      <c r="J94" s="44"/>
      <c r="K94" s="41"/>
    </row>
    <row r="95" customFormat="false" ht="14.4" hidden="false" customHeight="false" outlineLevel="0" collapsed="false">
      <c r="B95" s="42"/>
      <c r="C95" s="35" t="s">
        <v>49</v>
      </c>
      <c r="D95" s="35"/>
      <c r="E95" s="36" t="n">
        <f aca="false">F46</f>
        <v>2.4</v>
      </c>
      <c r="F95" s="43" t="n">
        <f aca="false">F240</f>
        <v>4505.65</v>
      </c>
      <c r="G95" s="34" t="n">
        <f aca="false">ROUND(E95*F95,2)</f>
        <v>10813.56</v>
      </c>
      <c r="J95" s="44"/>
      <c r="K95" s="41"/>
    </row>
    <row r="96" customFormat="false" ht="11.25" hidden="false" customHeight="true" outlineLevel="0" collapsed="false">
      <c r="B96" s="48"/>
      <c r="C96" s="38"/>
      <c r="D96" s="38"/>
      <c r="E96" s="39"/>
      <c r="F96" s="48"/>
      <c r="G96" s="40"/>
      <c r="J96" s="44"/>
      <c r="K96" s="41"/>
    </row>
    <row r="97" customFormat="false" ht="14.25" hidden="false" customHeight="true" outlineLevel="0" collapsed="false">
      <c r="B97" s="42" t="s">
        <v>55</v>
      </c>
      <c r="C97" s="35" t="s">
        <v>48</v>
      </c>
      <c r="D97" s="35"/>
      <c r="E97" s="36" t="n">
        <f aca="false">F50</f>
        <v>0.03</v>
      </c>
      <c r="F97" s="43" t="n">
        <f aca="false">F265</f>
        <v>7719.34</v>
      </c>
      <c r="G97" s="34" t="n">
        <f aca="false">ROUND(E97*F97,2)</f>
        <v>231.58</v>
      </c>
      <c r="J97" s="44"/>
      <c r="K97" s="41"/>
    </row>
    <row r="98" customFormat="false" ht="25.5" hidden="false" customHeight="true" outlineLevel="0" collapsed="false">
      <c r="B98" s="42"/>
      <c r="C98" s="21" t="s">
        <v>49</v>
      </c>
      <c r="D98" s="21"/>
      <c r="E98" s="36" t="n">
        <f aca="false">F52</f>
        <v>0.72</v>
      </c>
      <c r="F98" s="43" t="n">
        <f aca="false">F265</f>
        <v>7719.34</v>
      </c>
      <c r="G98" s="34" t="n">
        <f aca="false">ROUND(E98*F98,2)</f>
        <v>5557.92</v>
      </c>
      <c r="J98" s="44"/>
      <c r="K98" s="41"/>
    </row>
    <row r="99" customFormat="false" ht="11.25" hidden="false" customHeight="true" outlineLevel="0" collapsed="false">
      <c r="B99" s="48"/>
      <c r="C99" s="38"/>
      <c r="D99" s="38"/>
      <c r="E99" s="39"/>
      <c r="F99" s="48"/>
      <c r="G99" s="40"/>
      <c r="J99" s="44"/>
      <c r="K99" s="41"/>
    </row>
    <row r="100" customFormat="false" ht="25.5" hidden="false" customHeight="true" outlineLevel="0" collapsed="false">
      <c r="B100" s="42" t="s">
        <v>38</v>
      </c>
      <c r="C100" s="21" t="s">
        <v>48</v>
      </c>
      <c r="D100" s="21"/>
      <c r="E100" s="36" t="n">
        <f aca="false">F56</f>
        <v>0.1</v>
      </c>
      <c r="F100" s="43" t="n">
        <f aca="false">F275</f>
        <v>3586.64</v>
      </c>
      <c r="G100" s="34" t="n">
        <f aca="false">ROUND(E100*F100,2)</f>
        <v>358.66</v>
      </c>
      <c r="J100" s="44"/>
      <c r="K100" s="41"/>
    </row>
    <row r="101" customFormat="false" ht="25.5" hidden="false" customHeight="true" outlineLevel="0" collapsed="false">
      <c r="B101" s="42"/>
      <c r="C101" s="21" t="s">
        <v>49</v>
      </c>
      <c r="D101" s="21"/>
      <c r="E101" s="36" t="n">
        <f aca="false">F58</f>
        <v>2.4</v>
      </c>
      <c r="F101" s="43" t="n">
        <f aca="false">F275</f>
        <v>3586.64</v>
      </c>
      <c r="G101" s="34" t="n">
        <f aca="false">ROUND(E101*F101,2)</f>
        <v>8607.94</v>
      </c>
      <c r="J101" s="44"/>
      <c r="K101" s="41"/>
    </row>
    <row r="102" customFormat="false" ht="12" hidden="false" customHeight="true" outlineLevel="0" collapsed="false">
      <c r="B102" s="48"/>
      <c r="C102" s="38"/>
      <c r="D102" s="38"/>
      <c r="E102" s="39"/>
      <c r="F102" s="48"/>
      <c r="G102" s="40"/>
      <c r="J102" s="44"/>
      <c r="K102" s="41"/>
    </row>
    <row r="103" customFormat="false" ht="25.5" hidden="false" customHeight="true" outlineLevel="0" collapsed="false">
      <c r="B103" s="42" t="s">
        <v>56</v>
      </c>
      <c r="C103" s="21" t="s">
        <v>48</v>
      </c>
      <c r="D103" s="21"/>
      <c r="E103" s="36" t="n">
        <f aca="false">F62</f>
        <v>0.07</v>
      </c>
      <c r="F103" s="43" t="n">
        <f aca="false">F291</f>
        <v>2332.19</v>
      </c>
      <c r="G103" s="34" t="n">
        <f aca="false">ROUND(E103*F103,2)</f>
        <v>163.25</v>
      </c>
      <c r="J103" s="44"/>
      <c r="K103" s="41"/>
    </row>
    <row r="104" customFormat="false" ht="25.5" hidden="false" customHeight="true" outlineLevel="0" collapsed="false">
      <c r="B104" s="42"/>
      <c r="C104" s="21" t="s">
        <v>49</v>
      </c>
      <c r="D104" s="21"/>
      <c r="E104" s="36" t="n">
        <f aca="false">F64</f>
        <v>1.6</v>
      </c>
      <c r="F104" s="43" t="n">
        <f aca="false">F291</f>
        <v>2332.19</v>
      </c>
      <c r="G104" s="34" t="n">
        <f aca="false">ROUND(E104*F104,2)</f>
        <v>3731.5</v>
      </c>
      <c r="J104" s="44"/>
      <c r="K104" s="41"/>
    </row>
    <row r="105" customFormat="false" ht="12" hidden="false" customHeight="true" outlineLevel="0" collapsed="false">
      <c r="B105" s="48"/>
      <c r="C105" s="38"/>
      <c r="D105" s="38"/>
      <c r="E105" s="39"/>
      <c r="F105" s="48"/>
      <c r="G105" s="40"/>
      <c r="J105" s="44"/>
      <c r="K105" s="41"/>
    </row>
    <row r="106" customFormat="false" ht="19.5" hidden="false" customHeight="true" outlineLevel="0" collapsed="false">
      <c r="B106" s="42" t="s">
        <v>41</v>
      </c>
      <c r="C106" s="21" t="s">
        <v>48</v>
      </c>
      <c r="D106" s="21"/>
      <c r="E106" s="36" t="n">
        <f aca="false">F68</f>
        <v>0.01</v>
      </c>
      <c r="F106" s="43" t="n">
        <f aca="false">F315</f>
        <v>7601</v>
      </c>
      <c r="G106" s="34" t="n">
        <f aca="false">ROUND(E106*F106,2)</f>
        <v>76.01</v>
      </c>
      <c r="J106" s="44"/>
      <c r="K106" s="41"/>
    </row>
    <row r="107" customFormat="false" ht="14.25" hidden="false" customHeight="true" outlineLevel="0" collapsed="false">
      <c r="B107" s="42"/>
      <c r="C107" s="21" t="s">
        <v>49</v>
      </c>
      <c r="D107" s="21"/>
      <c r="E107" s="36" t="n">
        <f aca="false">F70</f>
        <v>0.04</v>
      </c>
      <c r="F107" s="43" t="n">
        <f aca="false">F315</f>
        <v>7601</v>
      </c>
      <c r="G107" s="34" t="n">
        <f aca="false">ROUND(E107*F107,2)</f>
        <v>304.04</v>
      </c>
      <c r="J107" s="44"/>
      <c r="K107" s="41"/>
    </row>
    <row r="108" customFormat="false" ht="14.4" hidden="false" customHeight="false" outlineLevel="0" collapsed="false">
      <c r="B108" s="48"/>
      <c r="C108" s="49"/>
      <c r="D108" s="49"/>
      <c r="E108" s="49"/>
      <c r="F108" s="49"/>
      <c r="G108" s="50"/>
      <c r="H108" s="51"/>
      <c r="K108" s="41"/>
    </row>
    <row r="109" customFormat="false" ht="14.4" hidden="false" customHeight="false" outlineLevel="0" collapsed="false">
      <c r="B109" s="42"/>
      <c r="C109" s="52" t="s">
        <v>57</v>
      </c>
      <c r="D109" s="52"/>
      <c r="E109" s="52"/>
      <c r="F109" s="52"/>
      <c r="G109" s="53" t="n">
        <f aca="false">SUM(G77:G107)</f>
        <v>222572.35</v>
      </c>
      <c r="H109" s="54"/>
      <c r="I109" s="11" t="s">
        <v>33</v>
      </c>
    </row>
    <row r="110" customFormat="false" ht="14.4" hidden="false" customHeight="false" outlineLevel="0" collapsed="false">
      <c r="B110" s="42"/>
      <c r="C110" s="52" t="s">
        <v>58</v>
      </c>
      <c r="D110" s="52"/>
      <c r="E110" s="52"/>
      <c r="F110" s="52"/>
      <c r="G110" s="53" t="n">
        <f aca="false">G109*6</f>
        <v>1335434.1</v>
      </c>
      <c r="H110" s="25"/>
    </row>
    <row r="112" customFormat="false" ht="14.4" hidden="false" customHeight="false" outlineLevel="0" collapsed="false">
      <c r="A112" s="14" t="s">
        <v>59</v>
      </c>
      <c r="B112" s="14"/>
      <c r="C112" s="14"/>
      <c r="D112" s="14"/>
      <c r="E112" s="14"/>
      <c r="F112" s="14"/>
      <c r="G112" s="14"/>
    </row>
    <row r="113" customFormat="false" ht="14.4" hidden="false" customHeight="false" outlineLevel="0" collapsed="false">
      <c r="A113" s="55"/>
      <c r="B113" s="55"/>
    </row>
    <row r="114" customFormat="false" ht="35.05" hidden="false" customHeight="false" outlineLevel="0" collapsed="false">
      <c r="A114" s="56" t="s">
        <v>1</v>
      </c>
      <c r="B114" s="57" t="s">
        <v>60</v>
      </c>
      <c r="C114" s="58" t="s">
        <v>61</v>
      </c>
      <c r="D114" s="58" t="s">
        <v>62</v>
      </c>
      <c r="E114" s="58" t="s">
        <v>63</v>
      </c>
      <c r="F114" s="58" t="s">
        <v>64</v>
      </c>
      <c r="G114" s="59" t="s">
        <v>65</v>
      </c>
    </row>
    <row r="115" customFormat="false" ht="14.4" hidden="false" customHeight="false" outlineLevel="0" collapsed="false">
      <c r="A115" s="56" t="s">
        <v>66</v>
      </c>
      <c r="B115" s="57" t="s">
        <v>67</v>
      </c>
      <c r="C115" s="60" t="n">
        <f aca="false">SUM(C116,C148,C168,C184,C196,C212)</f>
        <v>32444.95</v>
      </c>
      <c r="D115" s="60" t="n">
        <f aca="false">SUM(D116,D148,D168,D184,D196,D212)</f>
        <v>1621</v>
      </c>
      <c r="E115" s="60" t="n">
        <f aca="false">SUM(E116,E148,E168,E184,E196,E212)</f>
        <v>520974.76</v>
      </c>
      <c r="F115" s="60" t="n">
        <f aca="false">SUM(F116,F148,F168,F184,F196,F212)</f>
        <v>29965.79</v>
      </c>
      <c r="G115" s="59" t="n">
        <f aca="false">ROUNDDOWN(SUM(G116,G148,G168,G184,G196,G212),0)</f>
        <v>31</v>
      </c>
    </row>
    <row r="116" customFormat="false" ht="35.05" hidden="false" customHeight="false" outlineLevel="0" collapsed="false">
      <c r="A116" s="61" t="s">
        <v>68</v>
      </c>
      <c r="B116" s="62" t="s">
        <v>69</v>
      </c>
      <c r="C116" s="63" t="n">
        <f aca="false">SUM(C117,C128,C133,C137,C140)</f>
        <v>8274.2</v>
      </c>
      <c r="D116" s="63" t="n">
        <f aca="false">SUM(D117,D128,D133,D137,D140)</f>
        <v>902</v>
      </c>
      <c r="E116" s="63" t="n">
        <f aca="false">SUM(E117,E128,E133,E137,E140)</f>
        <v>406965.46</v>
      </c>
      <c r="F116" s="63" t="n">
        <f aca="false">ROUND(F117+F128+F133+F137+F140,2)</f>
        <v>18498.43</v>
      </c>
      <c r="G116" s="64" t="n">
        <f aca="false">SUM(G117,G128,G133,G140)</f>
        <v>15.3855916666667</v>
      </c>
      <c r="H116" s="65"/>
    </row>
    <row r="117" customFormat="false" ht="14.25" hidden="false" customHeight="true" outlineLevel="0" collapsed="false">
      <c r="A117" s="66" t="s">
        <v>70</v>
      </c>
      <c r="B117" s="66"/>
      <c r="C117" s="67" t="n">
        <f aca="false">SUM(C118:C127)</f>
        <v>4317.7</v>
      </c>
      <c r="D117" s="67" t="n">
        <f aca="false">SUM(D118:D127)</f>
        <v>506</v>
      </c>
      <c r="E117" s="67" t="n">
        <f aca="false">SUM(E118:E127)</f>
        <v>257387.24</v>
      </c>
      <c r="F117" s="67" t="n">
        <f aca="false">SUM(F118:F127)</f>
        <v>11699.42</v>
      </c>
      <c r="G117" s="68" t="n">
        <f aca="false">SUM(G118:G126)</f>
        <v>9.74641666666667</v>
      </c>
    </row>
    <row r="118" customFormat="false" ht="14.4" hidden="false" customHeight="false" outlineLevel="0" collapsed="false">
      <c r="A118" s="69" t="s">
        <v>71</v>
      </c>
      <c r="B118" s="70" t="s">
        <v>72</v>
      </c>
      <c r="C118" s="71" t="n">
        <v>589.24</v>
      </c>
      <c r="D118" s="72" t="n">
        <v>66</v>
      </c>
      <c r="E118" s="72" t="n">
        <f aca="false">D118*C118</f>
        <v>38889.84</v>
      </c>
      <c r="F118" s="72" t="n">
        <f aca="false">E118/22</f>
        <v>1767.72</v>
      </c>
      <c r="G118" s="73" t="n">
        <f aca="false">ROUND(F118/1200,2)</f>
        <v>1.47</v>
      </c>
    </row>
    <row r="119" customFormat="false" ht="14.4" hidden="false" customHeight="false" outlineLevel="0" collapsed="false">
      <c r="A119" s="69" t="s">
        <v>73</v>
      </c>
      <c r="B119" s="70" t="s">
        <v>74</v>
      </c>
      <c r="C119" s="71" t="n">
        <v>798.21</v>
      </c>
      <c r="D119" s="72" t="n">
        <v>66</v>
      </c>
      <c r="E119" s="72" t="n">
        <f aca="false">D119*C119</f>
        <v>52681.86</v>
      </c>
      <c r="F119" s="72" t="n">
        <f aca="false">E119/22</f>
        <v>2394.63</v>
      </c>
      <c r="G119" s="73" t="n">
        <f aca="false">F119/1200</f>
        <v>1.995525</v>
      </c>
    </row>
    <row r="120" customFormat="false" ht="14.4" hidden="false" customHeight="false" outlineLevel="0" collapsed="false">
      <c r="A120" s="69" t="s">
        <v>75</v>
      </c>
      <c r="B120" s="70" t="s">
        <v>76</v>
      </c>
      <c r="C120" s="71" t="n">
        <v>1048.09</v>
      </c>
      <c r="D120" s="72" t="n">
        <v>66</v>
      </c>
      <c r="E120" s="72" t="n">
        <f aca="false">D120*C120</f>
        <v>69173.94</v>
      </c>
      <c r="F120" s="72" t="n">
        <f aca="false">E120/22</f>
        <v>3144.27</v>
      </c>
      <c r="G120" s="73" t="n">
        <f aca="false">F120/1200</f>
        <v>2.620225</v>
      </c>
    </row>
    <row r="121" customFormat="false" ht="14.4" hidden="false" customHeight="false" outlineLevel="0" collapsed="false">
      <c r="A121" s="69" t="s">
        <v>77</v>
      </c>
      <c r="B121" s="70" t="s">
        <v>78</v>
      </c>
      <c r="C121" s="71" t="n">
        <v>61.62</v>
      </c>
      <c r="D121" s="72" t="n">
        <v>66</v>
      </c>
      <c r="E121" s="72" t="n">
        <f aca="false">D121*C121</f>
        <v>4066.92</v>
      </c>
      <c r="F121" s="72" t="n">
        <f aca="false">E121/22</f>
        <v>184.86</v>
      </c>
      <c r="G121" s="73" t="n">
        <f aca="false">F121/1200</f>
        <v>0.15405</v>
      </c>
    </row>
    <row r="122" customFormat="false" ht="14.4" hidden="false" customHeight="false" outlineLevel="0" collapsed="false">
      <c r="A122" s="69" t="s">
        <v>79</v>
      </c>
      <c r="B122" s="70" t="s">
        <v>80</v>
      </c>
      <c r="C122" s="71" t="n">
        <v>495.07</v>
      </c>
      <c r="D122" s="72" t="n">
        <v>66</v>
      </c>
      <c r="E122" s="72" t="n">
        <f aca="false">D122*C122</f>
        <v>32674.62</v>
      </c>
      <c r="F122" s="72" t="n">
        <f aca="false">E122/22</f>
        <v>1485.21</v>
      </c>
      <c r="G122" s="73" t="n">
        <f aca="false">F122/1200</f>
        <v>1.237675</v>
      </c>
    </row>
    <row r="123" customFormat="false" ht="23.85" hidden="false" customHeight="false" outlineLevel="0" collapsed="false">
      <c r="A123" s="69" t="s">
        <v>81</v>
      </c>
      <c r="B123" s="70" t="s">
        <v>82</v>
      </c>
      <c r="C123" s="71" t="n">
        <v>426.24</v>
      </c>
      <c r="D123" s="72" t="n">
        <v>66</v>
      </c>
      <c r="E123" s="72" t="n">
        <f aca="false">D123*C123</f>
        <v>28131.84</v>
      </c>
      <c r="F123" s="72" t="n">
        <f aca="false">E123/22</f>
        <v>1278.72</v>
      </c>
      <c r="G123" s="73" t="n">
        <f aca="false">F123/1200</f>
        <v>1.0656</v>
      </c>
    </row>
    <row r="124" customFormat="false" ht="14.4" hidden="false" customHeight="false" outlineLevel="0" collapsed="false">
      <c r="A124" s="69" t="s">
        <v>75</v>
      </c>
      <c r="B124" s="70" t="s">
        <v>83</v>
      </c>
      <c r="C124" s="71" t="n">
        <v>354.45</v>
      </c>
      <c r="D124" s="72" t="n">
        <v>22</v>
      </c>
      <c r="E124" s="72" t="n">
        <f aca="false">D124*C124</f>
        <v>7797.9</v>
      </c>
      <c r="F124" s="72" t="n">
        <f aca="false">E124/22</f>
        <v>354.45</v>
      </c>
      <c r="G124" s="73" t="n">
        <f aca="false">F124/1200</f>
        <v>0.295375</v>
      </c>
    </row>
    <row r="125" customFormat="false" ht="14.4" hidden="false" customHeight="false" outlineLevel="0" collapsed="false">
      <c r="A125" s="69" t="s">
        <v>77</v>
      </c>
      <c r="B125" s="70" t="s">
        <v>84</v>
      </c>
      <c r="C125" s="71" t="n">
        <v>247.5</v>
      </c>
      <c r="D125" s="72" t="n">
        <v>44</v>
      </c>
      <c r="E125" s="72" t="n">
        <f aca="false">D125*C125</f>
        <v>10890</v>
      </c>
      <c r="F125" s="72" t="n">
        <f aca="false">E125/22</f>
        <v>495</v>
      </c>
      <c r="G125" s="73" t="n">
        <f aca="false">F125/1200</f>
        <v>0.4125</v>
      </c>
    </row>
    <row r="126" customFormat="false" ht="14.4" hidden="false" customHeight="false" outlineLevel="0" collapsed="false">
      <c r="A126" s="69" t="s">
        <v>79</v>
      </c>
      <c r="B126" s="70" t="s">
        <v>85</v>
      </c>
      <c r="C126" s="71" t="n">
        <v>297.28</v>
      </c>
      <c r="D126" s="72" t="n">
        <v>44</v>
      </c>
      <c r="E126" s="72" t="n">
        <f aca="false">D126*C126</f>
        <v>13080.32</v>
      </c>
      <c r="F126" s="72" t="n">
        <f aca="false">E126/22</f>
        <v>594.56</v>
      </c>
      <c r="G126" s="73" t="n">
        <f aca="false">F126/1200</f>
        <v>0.495466666666667</v>
      </c>
    </row>
    <row r="127" customFormat="false" ht="8.25" hidden="false" customHeight="true" outlineLevel="0" collapsed="false">
      <c r="A127" s="74"/>
      <c r="B127" s="75"/>
      <c r="C127" s="76"/>
      <c r="D127" s="60"/>
      <c r="E127" s="60"/>
      <c r="F127" s="60"/>
      <c r="G127" s="77"/>
    </row>
    <row r="128" customFormat="false" ht="14.25" hidden="false" customHeight="true" outlineLevel="0" collapsed="false">
      <c r="A128" s="66" t="s">
        <v>86</v>
      </c>
      <c r="B128" s="66"/>
      <c r="C128" s="67" t="n">
        <f aca="false">SUM(C129:C132)</f>
        <v>2493.18</v>
      </c>
      <c r="D128" s="67" t="n">
        <f aca="false">SUM(D129:D132)</f>
        <v>88</v>
      </c>
      <c r="E128" s="67" t="n">
        <f aca="false">SUM(E129:E132)</f>
        <v>86534.58</v>
      </c>
      <c r="F128" s="67" t="n">
        <f aca="false">SUM(F129:F132)</f>
        <v>3933.39</v>
      </c>
      <c r="G128" s="78" t="n">
        <f aca="false">SUM(G129:G131)</f>
        <v>3.277825</v>
      </c>
    </row>
    <row r="129" customFormat="false" ht="14.4" hidden="false" customHeight="false" outlineLevel="0" collapsed="false">
      <c r="A129" s="69" t="s">
        <v>87</v>
      </c>
      <c r="B129" s="70" t="s">
        <v>88</v>
      </c>
      <c r="C129" s="71" t="n">
        <v>1440.21</v>
      </c>
      <c r="D129" s="72" t="n">
        <v>44</v>
      </c>
      <c r="E129" s="72" t="n">
        <f aca="false">D129*C129</f>
        <v>63369.24</v>
      </c>
      <c r="F129" s="72" t="n">
        <f aca="false">E129/22</f>
        <v>2880.42</v>
      </c>
      <c r="G129" s="73" t="n">
        <f aca="false">F129/1200</f>
        <v>2.40035</v>
      </c>
    </row>
    <row r="130" customFormat="false" ht="14.4" hidden="false" customHeight="false" outlineLevel="0" collapsed="false">
      <c r="A130" s="69" t="s">
        <v>89</v>
      </c>
      <c r="B130" s="70" t="s">
        <v>90</v>
      </c>
      <c r="C130" s="71" t="n">
        <v>824.53</v>
      </c>
      <c r="D130" s="72" t="n">
        <v>22</v>
      </c>
      <c r="E130" s="72" t="n">
        <f aca="false">D130*C130</f>
        <v>18139.66</v>
      </c>
      <c r="F130" s="72" t="n">
        <f aca="false">E130/22</f>
        <v>824.53</v>
      </c>
      <c r="G130" s="73" t="n">
        <f aca="false">F130/1200</f>
        <v>0.687108333333333</v>
      </c>
    </row>
    <row r="131" customFormat="false" ht="14.4" hidden="false" customHeight="false" outlineLevel="0" collapsed="false">
      <c r="A131" s="69" t="s">
        <v>91</v>
      </c>
      <c r="B131" s="70" t="s">
        <v>83</v>
      </c>
      <c r="C131" s="71" t="n">
        <v>228.44</v>
      </c>
      <c r="D131" s="72" t="n">
        <v>22</v>
      </c>
      <c r="E131" s="72" t="n">
        <f aca="false">D131*C131</f>
        <v>5025.68</v>
      </c>
      <c r="F131" s="72" t="n">
        <f aca="false">E131/22</f>
        <v>228.44</v>
      </c>
      <c r="G131" s="73" t="n">
        <f aca="false">F131/1200</f>
        <v>0.190366666666667</v>
      </c>
    </row>
    <row r="132" customFormat="false" ht="7.5" hidden="false" customHeight="true" outlineLevel="0" collapsed="false">
      <c r="A132" s="74"/>
      <c r="B132" s="75"/>
      <c r="C132" s="76"/>
      <c r="D132" s="60"/>
      <c r="E132" s="60"/>
      <c r="F132" s="60"/>
      <c r="G132" s="77"/>
    </row>
    <row r="133" customFormat="false" ht="14.25" hidden="false" customHeight="true" outlineLevel="0" collapsed="false">
      <c r="A133" s="66" t="s">
        <v>92</v>
      </c>
      <c r="B133" s="66"/>
      <c r="C133" s="67" t="n">
        <f aca="false">SUM(C134:C135)</f>
        <v>125.21</v>
      </c>
      <c r="D133" s="67" t="n">
        <f aca="false">SUM(D134:D135)</f>
        <v>44</v>
      </c>
      <c r="E133" s="67" t="n">
        <f aca="false">SUM(E134:E135)</f>
        <v>2754.62</v>
      </c>
      <c r="F133" s="67" t="n">
        <f aca="false">SUM(F134:F135)</f>
        <v>125.21</v>
      </c>
      <c r="G133" s="78" t="n">
        <f aca="false">SUM(G134,G135)</f>
        <v>0.104341666666667</v>
      </c>
    </row>
    <row r="134" customFormat="false" ht="18" hidden="false" customHeight="true" outlineLevel="0" collapsed="false">
      <c r="A134" s="69" t="s">
        <v>93</v>
      </c>
      <c r="B134" s="70" t="s">
        <v>94</v>
      </c>
      <c r="C134" s="71" t="n">
        <v>65.29</v>
      </c>
      <c r="D134" s="72" t="n">
        <v>22</v>
      </c>
      <c r="E134" s="72" t="n">
        <f aca="false">D134*C134</f>
        <v>1436.38</v>
      </c>
      <c r="F134" s="72" t="n">
        <f aca="false">E134/22</f>
        <v>65.29</v>
      </c>
      <c r="G134" s="73" t="n">
        <f aca="false">F134/1200</f>
        <v>0.0544083333333333</v>
      </c>
    </row>
    <row r="135" customFormat="false" ht="18" hidden="false" customHeight="true" outlineLevel="0" collapsed="false">
      <c r="A135" s="69" t="s">
        <v>95</v>
      </c>
      <c r="B135" s="70" t="s">
        <v>96</v>
      </c>
      <c r="C135" s="71" t="n">
        <v>59.92</v>
      </c>
      <c r="D135" s="72" t="n">
        <v>22</v>
      </c>
      <c r="E135" s="72" t="n">
        <f aca="false">D135*C135</f>
        <v>1318.24</v>
      </c>
      <c r="F135" s="72" t="n">
        <f aca="false">E135/22</f>
        <v>59.92</v>
      </c>
      <c r="G135" s="73" t="n">
        <f aca="false">F135/1200</f>
        <v>0.0499333333333333</v>
      </c>
    </row>
    <row r="136" customFormat="false" ht="9.75" hidden="false" customHeight="true" outlineLevel="0" collapsed="false">
      <c r="A136" s="79"/>
      <c r="B136" s="75"/>
      <c r="C136" s="76"/>
      <c r="D136" s="60"/>
      <c r="E136" s="60"/>
      <c r="F136" s="60"/>
      <c r="G136" s="77"/>
    </row>
    <row r="137" customFormat="false" ht="14.25" hidden="false" customHeight="true" outlineLevel="0" collapsed="false">
      <c r="A137" s="66" t="s">
        <v>97</v>
      </c>
      <c r="B137" s="66"/>
      <c r="C137" s="67" t="n">
        <f aca="false">SUM(C138)</f>
        <v>32</v>
      </c>
      <c r="D137" s="67" t="n">
        <f aca="false">SUM(D138)</f>
        <v>22</v>
      </c>
      <c r="E137" s="67" t="n">
        <f aca="false">SUM(E138)</f>
        <v>704</v>
      </c>
      <c r="F137" s="67" t="n">
        <f aca="false">SUM(F138)</f>
        <v>32</v>
      </c>
      <c r="G137" s="78" t="n">
        <f aca="false">SUM(G138)</f>
        <v>0.0266666666666667</v>
      </c>
    </row>
    <row r="138" customFormat="false" ht="18" hidden="false" customHeight="true" outlineLevel="0" collapsed="false">
      <c r="A138" s="69" t="s">
        <v>98</v>
      </c>
      <c r="B138" s="70" t="s">
        <v>99</v>
      </c>
      <c r="C138" s="71" t="n">
        <v>32</v>
      </c>
      <c r="D138" s="72" t="n">
        <v>22</v>
      </c>
      <c r="E138" s="72" t="n">
        <f aca="false">D138*C138</f>
        <v>704</v>
      </c>
      <c r="F138" s="72" t="n">
        <f aca="false">E138/22</f>
        <v>32</v>
      </c>
      <c r="G138" s="73" t="n">
        <f aca="false">F138/1200</f>
        <v>0.0266666666666667</v>
      </c>
    </row>
    <row r="139" customFormat="false" ht="9.75" hidden="false" customHeight="true" outlineLevel="0" collapsed="false">
      <c r="A139" s="74"/>
      <c r="B139" s="75"/>
      <c r="C139" s="76"/>
      <c r="D139" s="60"/>
      <c r="E139" s="60"/>
      <c r="F139" s="60"/>
      <c r="G139" s="77"/>
    </row>
    <row r="140" customFormat="false" ht="14.25" hidden="false" customHeight="true" outlineLevel="0" collapsed="false">
      <c r="A140" s="66" t="s">
        <v>100</v>
      </c>
      <c r="B140" s="66"/>
      <c r="C140" s="67" t="n">
        <f aca="false">SUM(C141:C147)</f>
        <v>1306.11</v>
      </c>
      <c r="D140" s="67" t="n">
        <f aca="false">SUM(D141:D147)</f>
        <v>242</v>
      </c>
      <c r="E140" s="67" t="n">
        <f aca="false">SUM(E141:E147)</f>
        <v>59585.02</v>
      </c>
      <c r="F140" s="67" t="n">
        <f aca="false">SUM(F141:F147)</f>
        <v>2708.41</v>
      </c>
      <c r="G140" s="78" t="n">
        <f aca="false">SUM(G141:G146)</f>
        <v>2.25700833333333</v>
      </c>
    </row>
    <row r="141" customFormat="false" ht="14.4" hidden="false" customHeight="false" outlineLevel="0" collapsed="false">
      <c r="A141" s="69" t="s">
        <v>101</v>
      </c>
      <c r="B141" s="70" t="s">
        <v>102</v>
      </c>
      <c r="C141" s="71" t="n">
        <v>312.89</v>
      </c>
      <c r="D141" s="72" t="n">
        <v>66</v>
      </c>
      <c r="E141" s="72" t="n">
        <f aca="false">D141*C141</f>
        <v>20650.74</v>
      </c>
      <c r="F141" s="72" t="n">
        <f aca="false">E141/22</f>
        <v>938.67</v>
      </c>
      <c r="G141" s="73" t="n">
        <f aca="false">F141/1200</f>
        <v>0.782225</v>
      </c>
    </row>
    <row r="142" customFormat="false" ht="14.4" hidden="false" customHeight="false" outlineLevel="0" collapsed="false">
      <c r="A142" s="69" t="s">
        <v>103</v>
      </c>
      <c r="B142" s="70" t="s">
        <v>104</v>
      </c>
      <c r="C142" s="71" t="n">
        <v>249.7</v>
      </c>
      <c r="D142" s="72" t="n">
        <v>66</v>
      </c>
      <c r="E142" s="72" t="n">
        <f aca="false">D142*C142</f>
        <v>16480.2</v>
      </c>
      <c r="F142" s="72" t="n">
        <f aca="false">E142/22</f>
        <v>749.1</v>
      </c>
      <c r="G142" s="73" t="n">
        <f aca="false">F142/1200</f>
        <v>0.62425</v>
      </c>
    </row>
    <row r="143" customFormat="false" ht="21.75" hidden="false" customHeight="true" outlineLevel="0" collapsed="false">
      <c r="A143" s="69" t="s">
        <v>105</v>
      </c>
      <c r="B143" s="70" t="s">
        <v>106</v>
      </c>
      <c r="C143" s="71" t="n">
        <v>277.12</v>
      </c>
      <c r="D143" s="72" t="n">
        <v>44</v>
      </c>
      <c r="E143" s="72" t="n">
        <f aca="false">D143*C143</f>
        <v>12193.28</v>
      </c>
      <c r="F143" s="72" t="n">
        <f aca="false">E143/22</f>
        <v>554.24</v>
      </c>
      <c r="G143" s="73" t="n">
        <f aca="false">F143/1200</f>
        <v>0.461866666666667</v>
      </c>
    </row>
    <row r="144" customFormat="false" ht="14.4" hidden="false" customHeight="false" outlineLevel="0" collapsed="false">
      <c r="A144" s="69" t="s">
        <v>107</v>
      </c>
      <c r="B144" s="70" t="s">
        <v>108</v>
      </c>
      <c r="C144" s="71" t="n">
        <v>25.92</v>
      </c>
      <c r="D144" s="72" t="n">
        <v>22</v>
      </c>
      <c r="E144" s="72" t="n">
        <f aca="false">D144*C144</f>
        <v>570.24</v>
      </c>
      <c r="F144" s="72" t="n">
        <f aca="false">E144/22</f>
        <v>25.92</v>
      </c>
      <c r="G144" s="73" t="n">
        <f aca="false">F144/1200</f>
        <v>0.0216</v>
      </c>
    </row>
    <row r="145" customFormat="false" ht="14.4" hidden="false" customHeight="false" outlineLevel="0" collapsed="false">
      <c r="A145" s="69" t="s">
        <v>109</v>
      </c>
      <c r="B145" s="70" t="s">
        <v>110</v>
      </c>
      <c r="C145" s="71" t="n">
        <f aca="false">2.1+4.57</f>
        <v>6.67</v>
      </c>
      <c r="D145" s="72" t="n">
        <v>22</v>
      </c>
      <c r="E145" s="72" t="n">
        <f aca="false">D145*C145</f>
        <v>146.74</v>
      </c>
      <c r="F145" s="72" t="n">
        <f aca="false">E145/22</f>
        <v>6.67</v>
      </c>
      <c r="G145" s="73" t="n">
        <f aca="false">F145/1200</f>
        <v>0.00555833333333333</v>
      </c>
    </row>
    <row r="146" customFormat="false" ht="14.4" hidden="false" customHeight="false" outlineLevel="0" collapsed="false">
      <c r="A146" s="69" t="s">
        <v>111</v>
      </c>
      <c r="B146" s="70" t="s">
        <v>112</v>
      </c>
      <c r="C146" s="71" t="n">
        <v>433.81</v>
      </c>
      <c r="D146" s="72" t="n">
        <v>22</v>
      </c>
      <c r="E146" s="72" t="n">
        <f aca="false">D146*C146</f>
        <v>9543.82</v>
      </c>
      <c r="F146" s="72" t="n">
        <f aca="false">E146/22</f>
        <v>433.81</v>
      </c>
      <c r="G146" s="73" t="n">
        <f aca="false">F146/1200</f>
        <v>0.361508333333333</v>
      </c>
    </row>
    <row r="147" customFormat="false" ht="9" hidden="false" customHeight="true" outlineLevel="0" collapsed="false">
      <c r="A147" s="74"/>
      <c r="B147" s="75"/>
      <c r="C147" s="76"/>
      <c r="D147" s="60"/>
      <c r="E147" s="60"/>
      <c r="F147" s="60"/>
      <c r="G147" s="77"/>
    </row>
    <row r="148" customFormat="false" ht="46.25" hidden="false" customHeight="false" outlineLevel="0" collapsed="false">
      <c r="A148" s="61" t="s">
        <v>113</v>
      </c>
      <c r="B148" s="62" t="s">
        <v>114</v>
      </c>
      <c r="C148" s="63" t="n">
        <f aca="false">SUM(C149,C154,C158,C163)</f>
        <v>2558.65</v>
      </c>
      <c r="D148" s="63" t="n">
        <f aca="false">SUM(D149,D154,D158,D163)</f>
        <v>225</v>
      </c>
      <c r="E148" s="63" t="n">
        <f aca="false">SUM(E149,E154,E158,E163)</f>
        <v>60138.83</v>
      </c>
      <c r="F148" s="63" t="n">
        <f aca="false">ROUND(F149+F154+F158+F163,2)</f>
        <v>2733.58</v>
      </c>
      <c r="G148" s="64" t="n">
        <f aca="false">SUM(G149,G154,G158,G163)</f>
        <v>6.07462929292929</v>
      </c>
    </row>
    <row r="149" customFormat="false" ht="14.4" hidden="false" customHeight="false" outlineLevel="0" collapsed="false">
      <c r="A149" s="80"/>
      <c r="B149" s="81" t="s">
        <v>70</v>
      </c>
      <c r="C149" s="67" t="n">
        <f aca="false">SUM(C150:C153)</f>
        <v>1657.33</v>
      </c>
      <c r="D149" s="67" t="n">
        <f aca="false">SUM(D150:D153)</f>
        <v>45</v>
      </c>
      <c r="E149" s="67" t="n">
        <f aca="false">SUM(E150:E153)</f>
        <v>36245.17</v>
      </c>
      <c r="F149" s="67" t="n">
        <f aca="false">SUM(F150:F153)</f>
        <v>1647.50772727273</v>
      </c>
      <c r="G149" s="78" t="n">
        <f aca="false">SUM(G150:G152)</f>
        <v>3.66112828282828</v>
      </c>
    </row>
    <row r="150" customFormat="false" ht="23.85" hidden="false" customHeight="false" outlineLevel="0" collapsed="false">
      <c r="A150" s="69" t="s">
        <v>115</v>
      </c>
      <c r="B150" s="70" t="s">
        <v>116</v>
      </c>
      <c r="C150" s="71" t="n">
        <f aca="false">1096.75+455.26</f>
        <v>1552.01</v>
      </c>
      <c r="D150" s="72" t="n">
        <v>22</v>
      </c>
      <c r="E150" s="72" t="n">
        <f aca="false">D150*C150</f>
        <v>34144.22</v>
      </c>
      <c r="F150" s="72" t="n">
        <f aca="false">E150/22</f>
        <v>1552.01</v>
      </c>
      <c r="G150" s="73" t="n">
        <f aca="false">F150/450</f>
        <v>3.44891111111111</v>
      </c>
    </row>
    <row r="151" customFormat="false" ht="14.4" hidden="false" customHeight="false" outlineLevel="0" collapsed="false">
      <c r="A151" s="69" t="s">
        <v>117</v>
      </c>
      <c r="B151" s="70" t="s">
        <v>118</v>
      </c>
      <c r="C151" s="71" t="n">
        <v>95.03</v>
      </c>
      <c r="D151" s="72" t="n">
        <v>22</v>
      </c>
      <c r="E151" s="72" t="n">
        <f aca="false">D151*C151</f>
        <v>2090.66</v>
      </c>
      <c r="F151" s="72" t="n">
        <f aca="false">E151/22</f>
        <v>95.03</v>
      </c>
      <c r="G151" s="73" t="n">
        <f aca="false">F151/450</f>
        <v>0.211177777777778</v>
      </c>
    </row>
    <row r="152" customFormat="false" ht="14.4" hidden="false" customHeight="false" outlineLevel="0" collapsed="false">
      <c r="A152" s="82" t="s">
        <v>119</v>
      </c>
      <c r="B152" s="83" t="s">
        <v>120</v>
      </c>
      <c r="C152" s="84" t="n">
        <v>10.29</v>
      </c>
      <c r="D152" s="85" t="n">
        <v>1</v>
      </c>
      <c r="E152" s="85" t="n">
        <f aca="false">D152*C152</f>
        <v>10.29</v>
      </c>
      <c r="F152" s="85" t="n">
        <f aca="false">E152/22</f>
        <v>0.467727272727273</v>
      </c>
      <c r="G152" s="86" t="n">
        <f aca="false">F152/450</f>
        <v>0.00103939393939394</v>
      </c>
    </row>
    <row r="153" customFormat="false" ht="9.75" hidden="false" customHeight="true" outlineLevel="0" collapsed="false">
      <c r="A153" s="74"/>
      <c r="B153" s="75"/>
      <c r="C153" s="76"/>
      <c r="D153" s="60"/>
      <c r="E153" s="60"/>
      <c r="F153" s="60"/>
      <c r="G153" s="77"/>
    </row>
    <row r="154" customFormat="false" ht="14.25" hidden="false" customHeight="true" outlineLevel="0" collapsed="false">
      <c r="A154" s="66" t="s">
        <v>86</v>
      </c>
      <c r="B154" s="66"/>
      <c r="C154" s="67" t="n">
        <f aca="false">SUM(C155:C157)</f>
        <v>311.9</v>
      </c>
      <c r="D154" s="67" t="n">
        <f aca="false">SUM(D155:D157)</f>
        <v>66</v>
      </c>
      <c r="E154" s="67" t="n">
        <f aca="false">SUM(E155:E157)</f>
        <v>13535.06</v>
      </c>
      <c r="F154" s="67" t="n">
        <f aca="false">SUM(F155:F157)</f>
        <v>615.23</v>
      </c>
      <c r="G154" s="78" t="n">
        <f aca="false">SUM(G155:G156)</f>
        <v>1.36717777777778</v>
      </c>
    </row>
    <row r="155" customFormat="false" ht="14.4" hidden="false" customHeight="false" outlineLevel="0" collapsed="false">
      <c r="A155" s="69" t="s">
        <v>121</v>
      </c>
      <c r="B155" s="70" t="s">
        <v>122</v>
      </c>
      <c r="C155" s="71" t="n">
        <v>303.33</v>
      </c>
      <c r="D155" s="72" t="n">
        <v>44</v>
      </c>
      <c r="E155" s="72" t="n">
        <f aca="false">D155*C155</f>
        <v>13346.52</v>
      </c>
      <c r="F155" s="72" t="n">
        <f aca="false">E155/22</f>
        <v>606.66</v>
      </c>
      <c r="G155" s="73" t="n">
        <f aca="false">F155/450</f>
        <v>1.34813333333333</v>
      </c>
    </row>
    <row r="156" customFormat="false" ht="14.4" hidden="false" customHeight="false" outlineLevel="0" collapsed="false">
      <c r="A156" s="82" t="s">
        <v>123</v>
      </c>
      <c r="B156" s="83" t="s">
        <v>124</v>
      </c>
      <c r="C156" s="84" t="n">
        <v>8.57</v>
      </c>
      <c r="D156" s="85" t="n">
        <v>22</v>
      </c>
      <c r="E156" s="85" t="n">
        <f aca="false">D156*C156</f>
        <v>188.54</v>
      </c>
      <c r="F156" s="85" t="n">
        <f aca="false">E156/22</f>
        <v>8.57</v>
      </c>
      <c r="G156" s="86" t="n">
        <f aca="false">F156/450</f>
        <v>0.0190444444444444</v>
      </c>
    </row>
    <row r="157" customFormat="false" ht="9.75" hidden="false" customHeight="true" outlineLevel="0" collapsed="false">
      <c r="A157" s="74"/>
      <c r="B157" s="75"/>
      <c r="C157" s="76"/>
      <c r="D157" s="60"/>
      <c r="E157" s="60"/>
      <c r="F157" s="60"/>
      <c r="G157" s="77"/>
    </row>
    <row r="158" customFormat="false" ht="14.25" hidden="false" customHeight="true" outlineLevel="0" collapsed="false">
      <c r="A158" s="66" t="s">
        <v>92</v>
      </c>
      <c r="B158" s="66"/>
      <c r="C158" s="67" t="n">
        <f aca="false">SUM(C159:C161)</f>
        <v>516.77</v>
      </c>
      <c r="D158" s="67" t="n">
        <f aca="false">SUM(D159:D161)</f>
        <v>44</v>
      </c>
      <c r="E158" s="67" t="n">
        <f aca="false">SUM(E159:E161)</f>
        <v>9091.94</v>
      </c>
      <c r="F158" s="67" t="n">
        <f aca="false">SUM(F159:F161)</f>
        <v>413.27</v>
      </c>
      <c r="G158" s="78" t="n">
        <f aca="false">SUM(G159:G161)</f>
        <v>0.918377777777778</v>
      </c>
    </row>
    <row r="159" customFormat="false" ht="14.4" hidden="false" customHeight="false" outlineLevel="0" collapsed="false">
      <c r="A159" s="69" t="s">
        <v>125</v>
      </c>
      <c r="B159" s="70" t="s">
        <v>126</v>
      </c>
      <c r="C159" s="71" t="n">
        <v>103.5</v>
      </c>
      <c r="D159" s="72" t="n">
        <v>0</v>
      </c>
      <c r="E159" s="72" t="n">
        <f aca="false">D159*C159</f>
        <v>0</v>
      </c>
      <c r="F159" s="72" t="n">
        <f aca="false">E159/22</f>
        <v>0</v>
      </c>
      <c r="G159" s="73" t="n">
        <f aca="false">F159/450</f>
        <v>0</v>
      </c>
    </row>
    <row r="160" customFormat="false" ht="14.4" hidden="false" customHeight="false" outlineLevel="0" collapsed="false">
      <c r="A160" s="69" t="s">
        <v>127</v>
      </c>
      <c r="B160" s="70" t="s">
        <v>128</v>
      </c>
      <c r="C160" s="84" t="n">
        <v>321.51</v>
      </c>
      <c r="D160" s="72" t="n">
        <v>22</v>
      </c>
      <c r="E160" s="72" t="n">
        <f aca="false">D160*C160</f>
        <v>7073.22</v>
      </c>
      <c r="F160" s="72" t="n">
        <f aca="false">E160/22</f>
        <v>321.51</v>
      </c>
      <c r="G160" s="73" t="n">
        <f aca="false">F160/450</f>
        <v>0.714466666666667</v>
      </c>
    </row>
    <row r="161" customFormat="false" ht="14.4" hidden="false" customHeight="false" outlineLevel="0" collapsed="false">
      <c r="A161" s="69" t="s">
        <v>129</v>
      </c>
      <c r="B161" s="83" t="s">
        <v>130</v>
      </c>
      <c r="C161" s="84" t="n">
        <v>91.76</v>
      </c>
      <c r="D161" s="85" t="n">
        <v>22</v>
      </c>
      <c r="E161" s="85" t="n">
        <f aca="false">D161*C161</f>
        <v>2018.72</v>
      </c>
      <c r="F161" s="85" t="n">
        <f aca="false">E161/22</f>
        <v>91.76</v>
      </c>
      <c r="G161" s="86" t="n">
        <f aca="false">F161/450</f>
        <v>0.203911111111111</v>
      </c>
    </row>
    <row r="162" customFormat="false" ht="8.25" hidden="false" customHeight="true" outlineLevel="0" collapsed="false">
      <c r="A162" s="79"/>
      <c r="B162" s="87"/>
      <c r="C162" s="88"/>
      <c r="D162" s="89"/>
      <c r="E162" s="89"/>
      <c r="F162" s="89"/>
      <c r="G162" s="90"/>
    </row>
    <row r="163" customFormat="false" ht="14.25" hidden="false" customHeight="true" outlineLevel="0" collapsed="false">
      <c r="A163" s="66" t="s">
        <v>100</v>
      </c>
      <c r="B163" s="66"/>
      <c r="C163" s="67" t="n">
        <f aca="false">SUM(C164:C166)</f>
        <v>72.65</v>
      </c>
      <c r="D163" s="67" t="n">
        <f aca="false">SUM(D164:D166)</f>
        <v>70</v>
      </c>
      <c r="E163" s="67" t="n">
        <f aca="false">SUM(E164:E166)</f>
        <v>1266.66</v>
      </c>
      <c r="F163" s="67" t="n">
        <f aca="false">SUM(F164:F166)</f>
        <v>57.5754545454546</v>
      </c>
      <c r="G163" s="78" t="n">
        <f aca="false">SUM(G164:G166)</f>
        <v>0.127945454545455</v>
      </c>
    </row>
    <row r="164" customFormat="false" ht="14.4" hidden="false" customHeight="false" outlineLevel="0" collapsed="false">
      <c r="A164" s="69" t="s">
        <v>131</v>
      </c>
      <c r="B164" s="70" t="s">
        <v>132</v>
      </c>
      <c r="C164" s="71" t="n">
        <v>37.98</v>
      </c>
      <c r="D164" s="72" t="n">
        <v>4</v>
      </c>
      <c r="E164" s="72" t="n">
        <f aca="false">D164*C164</f>
        <v>151.92</v>
      </c>
      <c r="F164" s="72" t="n">
        <f aca="false">E164/22</f>
        <v>6.90545454545455</v>
      </c>
      <c r="G164" s="73" t="n">
        <f aca="false">F164/450</f>
        <v>0.0153454545454545</v>
      </c>
    </row>
    <row r="165" customFormat="false" ht="14.4" hidden="false" customHeight="false" outlineLevel="0" collapsed="false">
      <c r="A165" s="69" t="s">
        <v>133</v>
      </c>
      <c r="B165" s="70" t="s">
        <v>134</v>
      </c>
      <c r="C165" s="71" t="n">
        <v>16</v>
      </c>
      <c r="D165" s="72" t="n">
        <v>44</v>
      </c>
      <c r="E165" s="72" t="n">
        <f aca="false">D165*C165</f>
        <v>704</v>
      </c>
      <c r="F165" s="72" t="n">
        <f aca="false">E165/22</f>
        <v>32</v>
      </c>
      <c r="G165" s="73" t="n">
        <f aca="false">F165/450</f>
        <v>0.0711111111111111</v>
      </c>
    </row>
    <row r="166" customFormat="false" ht="14.4" hidden="false" customHeight="false" outlineLevel="0" collapsed="false">
      <c r="A166" s="82" t="s">
        <v>135</v>
      </c>
      <c r="B166" s="83" t="s">
        <v>136</v>
      </c>
      <c r="C166" s="84" t="n">
        <v>18.67</v>
      </c>
      <c r="D166" s="85" t="n">
        <v>22</v>
      </c>
      <c r="E166" s="85" t="n">
        <f aca="false">D166*C166</f>
        <v>410.74</v>
      </c>
      <c r="F166" s="85" t="n">
        <f aca="false">E166/22</f>
        <v>18.67</v>
      </c>
      <c r="G166" s="86" t="n">
        <f aca="false">F166/450</f>
        <v>0.0414888888888889</v>
      </c>
    </row>
    <row r="167" customFormat="false" ht="9.75" hidden="false" customHeight="true" outlineLevel="0" collapsed="false">
      <c r="A167" s="79"/>
      <c r="B167" s="91"/>
      <c r="C167" s="92"/>
      <c r="D167" s="93"/>
      <c r="E167" s="93"/>
      <c r="F167" s="93"/>
      <c r="G167" s="94"/>
    </row>
    <row r="168" customFormat="false" ht="35.05" hidden="false" customHeight="false" outlineLevel="0" collapsed="false">
      <c r="A168" s="61" t="s">
        <v>137</v>
      </c>
      <c r="B168" s="62" t="s">
        <v>138</v>
      </c>
      <c r="C168" s="63" t="n">
        <f aca="false">SUM(C169,C173,C177,C180)</f>
        <v>15104.995</v>
      </c>
      <c r="D168" s="63" t="n">
        <f aca="false">SUM(D169,D173,D177,D180)</f>
        <v>467</v>
      </c>
      <c r="E168" s="63" t="n">
        <f aca="false">SUM(E169,E173,E177,E180)</f>
        <v>52341.165</v>
      </c>
      <c r="F168" s="63" t="n">
        <f aca="false">ROUND(F169+F173+F177+F180,2)</f>
        <v>2379.12</v>
      </c>
      <c r="G168" s="64" t="n">
        <f aca="false">SUM(G169,G173,G177,G180)</f>
        <v>0.110014545454545</v>
      </c>
    </row>
    <row r="169" customFormat="false" ht="14.25" hidden="false" customHeight="true" outlineLevel="0" collapsed="false">
      <c r="A169" s="66" t="s">
        <v>70</v>
      </c>
      <c r="B169" s="66"/>
      <c r="C169" s="67" t="n">
        <f aca="false">SUM(C170:C171)</f>
        <v>209.14</v>
      </c>
      <c r="D169" s="67" t="n">
        <f aca="false">SUM(D170:D171)</f>
        <v>9</v>
      </c>
      <c r="E169" s="67" t="n">
        <f aca="false">SUM(E170:E171)</f>
        <v>1288.47</v>
      </c>
      <c r="F169" s="67" t="n">
        <f aca="false">SUM(F170:F171)</f>
        <v>58.5668181818182</v>
      </c>
      <c r="G169" s="78" t="n">
        <f aca="false">SUM(G170,G171)</f>
        <v>0.0390445454545455</v>
      </c>
    </row>
    <row r="170" customFormat="false" ht="14.4" hidden="false" customHeight="false" outlineLevel="0" collapsed="false">
      <c r="A170" s="69" t="s">
        <v>139</v>
      </c>
      <c r="B170" s="70" t="s">
        <v>140</v>
      </c>
      <c r="C170" s="71" t="n">
        <v>154.19</v>
      </c>
      <c r="D170" s="72" t="n">
        <v>8</v>
      </c>
      <c r="E170" s="72" t="n">
        <f aca="false">D170*C170</f>
        <v>1233.52</v>
      </c>
      <c r="F170" s="72" t="n">
        <f aca="false">E170/22</f>
        <v>56.0690909090909</v>
      </c>
      <c r="G170" s="73" t="n">
        <f aca="false">F170/1500</f>
        <v>0.0373793939393939</v>
      </c>
    </row>
    <row r="171" customFormat="false" ht="14.4" hidden="false" customHeight="false" outlineLevel="0" collapsed="false">
      <c r="A171" s="69" t="s">
        <v>141</v>
      </c>
      <c r="B171" s="70" t="s">
        <v>142</v>
      </c>
      <c r="C171" s="71" t="n">
        <v>54.95</v>
      </c>
      <c r="D171" s="72" t="n">
        <v>1</v>
      </c>
      <c r="E171" s="72" t="n">
        <f aca="false">D171*C171</f>
        <v>54.95</v>
      </c>
      <c r="F171" s="72" t="n">
        <f aca="false">E171/22</f>
        <v>2.49772727272727</v>
      </c>
      <c r="G171" s="73" t="n">
        <f aca="false">F171/1500</f>
        <v>0.00166515151515152</v>
      </c>
    </row>
    <row r="172" customFormat="false" ht="9.75" hidden="false" customHeight="true" outlineLevel="0" collapsed="false">
      <c r="A172" s="74"/>
      <c r="B172" s="75"/>
      <c r="C172" s="76"/>
      <c r="D172" s="60"/>
      <c r="E172" s="60"/>
      <c r="F172" s="60"/>
      <c r="G172" s="77"/>
    </row>
    <row r="173" customFormat="false" ht="14.25" hidden="false" customHeight="true" outlineLevel="0" collapsed="false">
      <c r="A173" s="95" t="s">
        <v>86</v>
      </c>
      <c r="B173" s="95"/>
      <c r="C173" s="67" t="n">
        <f aca="false">SUM(C174:C184)</f>
        <v>8447.045</v>
      </c>
      <c r="D173" s="67" t="n">
        <f aca="false">SUM(D174:D184)</f>
        <v>247</v>
      </c>
      <c r="E173" s="67" t="n">
        <f aca="false">SUM(E174:E184)</f>
        <v>27462.005</v>
      </c>
      <c r="F173" s="67" t="n">
        <f aca="false">SUM(F174:F184)</f>
        <v>1248.26136363636</v>
      </c>
      <c r="G173" s="78" t="n">
        <f aca="false">SUM(G174:G175)</f>
        <v>0.0610127272727273</v>
      </c>
    </row>
    <row r="174" customFormat="false" ht="14.4" hidden="false" customHeight="false" outlineLevel="0" collapsed="false">
      <c r="A174" s="69" t="s">
        <v>143</v>
      </c>
      <c r="B174" s="70" t="s">
        <v>140</v>
      </c>
      <c r="C174" s="71" t="n">
        <v>220.83</v>
      </c>
      <c r="D174" s="72" t="n">
        <v>4</v>
      </c>
      <c r="E174" s="72" t="n">
        <f aca="false">D174*C174</f>
        <v>883.32</v>
      </c>
      <c r="F174" s="72" t="n">
        <f aca="false">E174/22</f>
        <v>40.1509090909091</v>
      </c>
      <c r="G174" s="73" t="n">
        <f aca="false">F174/1500</f>
        <v>0.0267672727272727</v>
      </c>
    </row>
    <row r="175" customFormat="false" ht="14.4" hidden="false" customHeight="false" outlineLevel="0" collapsed="false">
      <c r="A175" s="69" t="s">
        <v>144</v>
      </c>
      <c r="B175" s="70" t="s">
        <v>145</v>
      </c>
      <c r="C175" s="71" t="n">
        <v>565.05</v>
      </c>
      <c r="D175" s="72" t="n">
        <v>2</v>
      </c>
      <c r="E175" s="72" t="n">
        <f aca="false">D175*C175</f>
        <v>1130.1</v>
      </c>
      <c r="F175" s="72" t="n">
        <f aca="false">E175/22</f>
        <v>51.3681818181818</v>
      </c>
      <c r="G175" s="73" t="n">
        <f aca="false">F175/1500</f>
        <v>0.0342454545454545</v>
      </c>
    </row>
    <row r="176" customFormat="false" ht="8.25" hidden="false" customHeight="true" outlineLevel="0" collapsed="false">
      <c r="A176" s="74"/>
      <c r="B176" s="75"/>
      <c r="C176" s="76"/>
      <c r="D176" s="60"/>
      <c r="E176" s="60"/>
      <c r="F176" s="60"/>
      <c r="G176" s="77"/>
    </row>
    <row r="177" customFormat="false" ht="14.25" hidden="false" customHeight="true" outlineLevel="0" collapsed="false">
      <c r="A177" s="96" t="s">
        <v>92</v>
      </c>
      <c r="B177" s="96"/>
      <c r="C177" s="97" t="n">
        <f aca="false">SUM(C178:C180)</f>
        <v>3295.805</v>
      </c>
      <c r="D177" s="97" t="n">
        <f aca="false">SUM(D178:D180)</f>
        <v>106</v>
      </c>
      <c r="E177" s="97" t="n">
        <f aca="false">SUM(E178:E180)</f>
        <v>11866.745</v>
      </c>
      <c r="F177" s="97" t="n">
        <f aca="false">SUM(F178:F180)</f>
        <v>539.393636363636</v>
      </c>
      <c r="G177" s="98" t="n">
        <f aca="false">SUM(G178,G179)</f>
        <v>0.00432727272727273</v>
      </c>
    </row>
    <row r="178" customFormat="false" ht="14.4" hidden="false" customHeight="false" outlineLevel="0" collapsed="false">
      <c r="A178" s="82" t="s">
        <v>146</v>
      </c>
      <c r="B178" s="83" t="s">
        <v>147</v>
      </c>
      <c r="C178" s="84" t="n">
        <v>142.8</v>
      </c>
      <c r="D178" s="85" t="n">
        <v>1</v>
      </c>
      <c r="E178" s="85" t="n">
        <f aca="false">D178*C178</f>
        <v>142.8</v>
      </c>
      <c r="F178" s="85" t="n">
        <f aca="false">E178/22</f>
        <v>6.49090909090909</v>
      </c>
      <c r="G178" s="73" t="n">
        <f aca="false">F178/1500</f>
        <v>0.00432727272727273</v>
      </c>
    </row>
    <row r="179" customFormat="false" ht="8.25" hidden="false" customHeight="true" outlineLevel="0" collapsed="false">
      <c r="A179" s="74"/>
      <c r="B179" s="75"/>
      <c r="C179" s="76"/>
      <c r="D179" s="60"/>
      <c r="E179" s="60"/>
      <c r="F179" s="60"/>
      <c r="G179" s="77"/>
    </row>
    <row r="180" customFormat="false" ht="14.25" hidden="false" customHeight="true" outlineLevel="0" collapsed="false">
      <c r="A180" s="66" t="s">
        <v>100</v>
      </c>
      <c r="B180" s="66"/>
      <c r="C180" s="67" t="n">
        <f aca="false">SUM(C181:C195)</f>
        <v>3153.005</v>
      </c>
      <c r="D180" s="67" t="n">
        <f aca="false">SUM(D181:D195)</f>
        <v>105</v>
      </c>
      <c r="E180" s="67" t="n">
        <f aca="false">SUM(E181:E195)</f>
        <v>11723.945</v>
      </c>
      <c r="F180" s="67" t="n">
        <f aca="false">SUM(F181:F195)</f>
        <v>532.902727272727</v>
      </c>
      <c r="G180" s="78" t="n">
        <f aca="false">SUM(G181:G182)</f>
        <v>0.00563</v>
      </c>
    </row>
    <row r="181" customFormat="false" ht="14.4" hidden="false" customHeight="false" outlineLevel="0" collapsed="false">
      <c r="A181" s="69" t="s">
        <v>148</v>
      </c>
      <c r="B181" s="70" t="s">
        <v>149</v>
      </c>
      <c r="C181" s="71" t="n">
        <v>82.06</v>
      </c>
      <c r="D181" s="72" t="n">
        <v>1</v>
      </c>
      <c r="E181" s="72" t="n">
        <f aca="false">D181*C181</f>
        <v>82.06</v>
      </c>
      <c r="F181" s="72" t="n">
        <f aca="false">E181/22</f>
        <v>3.73</v>
      </c>
      <c r="G181" s="73" t="n">
        <f aca="false">F181/1500</f>
        <v>0.00248666666666667</v>
      </c>
    </row>
    <row r="182" customFormat="false" ht="14.4" hidden="false" customHeight="false" outlineLevel="0" collapsed="false">
      <c r="A182" s="69" t="s">
        <v>150</v>
      </c>
      <c r="B182" s="70" t="s">
        <v>151</v>
      </c>
      <c r="C182" s="71" t="n">
        <v>103.73</v>
      </c>
      <c r="D182" s="72" t="n">
        <v>1</v>
      </c>
      <c r="E182" s="72" t="n">
        <f aca="false">D182*C182</f>
        <v>103.73</v>
      </c>
      <c r="F182" s="72" t="n">
        <f aca="false">E182/22</f>
        <v>4.715</v>
      </c>
      <c r="G182" s="73" t="n">
        <f aca="false">F182/1500</f>
        <v>0.00314333333333333</v>
      </c>
    </row>
    <row r="183" customFormat="false" ht="8.25" hidden="false" customHeight="true" outlineLevel="0" collapsed="false">
      <c r="A183" s="74"/>
      <c r="B183" s="75"/>
      <c r="C183" s="76"/>
      <c r="D183" s="60"/>
      <c r="E183" s="60"/>
      <c r="F183" s="60"/>
      <c r="G183" s="77"/>
    </row>
    <row r="184" customFormat="false" ht="46.25" hidden="false" customHeight="false" outlineLevel="0" collapsed="false">
      <c r="A184" s="61" t="s">
        <v>152</v>
      </c>
      <c r="B184" s="62" t="s">
        <v>153</v>
      </c>
      <c r="C184" s="63" t="n">
        <f aca="false">SUM(C185,C192)</f>
        <v>883.765</v>
      </c>
      <c r="D184" s="63" t="n">
        <f aca="false">SUM(D185,D192)</f>
        <v>27</v>
      </c>
      <c r="E184" s="63" t="n">
        <f aca="false">SUM(E185,E192)</f>
        <v>1529.305</v>
      </c>
      <c r="F184" s="63" t="n">
        <f aca="false">ROUND(F185+F192,2)</f>
        <v>69.51</v>
      </c>
      <c r="G184" s="64" t="n">
        <f aca="false">SUM(G185,G192)</f>
        <v>0.256955909090909</v>
      </c>
    </row>
    <row r="185" customFormat="false" ht="14.25" hidden="false" customHeight="true" outlineLevel="0" collapsed="false">
      <c r="A185" s="66" t="s">
        <v>92</v>
      </c>
      <c r="B185" s="66"/>
      <c r="C185" s="67" t="n">
        <f aca="false">SUM(C186:C190)</f>
        <v>853.025</v>
      </c>
      <c r="D185" s="67" t="n">
        <f aca="false">SUM(D186:D190)</f>
        <v>5</v>
      </c>
      <c r="E185" s="67" t="n">
        <f aca="false">SUM(E186:E190)</f>
        <v>853.025</v>
      </c>
      <c r="F185" s="67" t="n">
        <f aca="false">SUM(F186:F190)</f>
        <v>38.7738636363636</v>
      </c>
      <c r="G185" s="78" t="n">
        <f aca="false">SUM(G186:G190)</f>
        <v>0.0258492424242424</v>
      </c>
    </row>
    <row r="186" customFormat="false" ht="14.4" hidden="false" customHeight="false" outlineLevel="0" collapsed="false">
      <c r="A186" s="69" t="s">
        <v>154</v>
      </c>
      <c r="B186" s="70" t="s">
        <v>155</v>
      </c>
      <c r="C186" s="71" t="n">
        <f aca="false">112.5*4</f>
        <v>450</v>
      </c>
      <c r="D186" s="72" t="n">
        <v>1</v>
      </c>
      <c r="E186" s="72" t="n">
        <f aca="false">D186*C186</f>
        <v>450</v>
      </c>
      <c r="F186" s="72" t="n">
        <f aca="false">E186/22</f>
        <v>20.4545454545455</v>
      </c>
      <c r="G186" s="73" t="n">
        <f aca="false">F186/1500</f>
        <v>0.0136363636363636</v>
      </c>
    </row>
    <row r="187" customFormat="false" ht="14.4" hidden="false" customHeight="false" outlineLevel="0" collapsed="false">
      <c r="A187" s="69" t="s">
        <v>156</v>
      </c>
      <c r="B187" s="70" t="s">
        <v>157</v>
      </c>
      <c r="C187" s="71" t="n">
        <f aca="false">89.42*2</f>
        <v>178.84</v>
      </c>
      <c r="D187" s="72" t="n">
        <v>1</v>
      </c>
      <c r="E187" s="72" t="n">
        <f aca="false">D187*C187</f>
        <v>178.84</v>
      </c>
      <c r="F187" s="72" t="n">
        <f aca="false">E187/22</f>
        <v>8.12909090909091</v>
      </c>
      <c r="G187" s="73" t="n">
        <f aca="false">F187/1500</f>
        <v>0.00541939393939394</v>
      </c>
    </row>
    <row r="188" customFormat="false" ht="14.4" hidden="false" customHeight="false" outlineLevel="0" collapsed="false">
      <c r="A188" s="69" t="s">
        <v>158</v>
      </c>
      <c r="B188" s="70" t="s">
        <v>159</v>
      </c>
      <c r="C188" s="71" t="n">
        <f aca="false">6.3*9.45</f>
        <v>59.535</v>
      </c>
      <c r="D188" s="72" t="n">
        <v>1</v>
      </c>
      <c r="E188" s="72" t="n">
        <f aca="false">D188*C188</f>
        <v>59.535</v>
      </c>
      <c r="F188" s="72" t="n">
        <f aca="false">E188/22</f>
        <v>2.70613636363636</v>
      </c>
      <c r="G188" s="73" t="n">
        <f aca="false">F188/1500</f>
        <v>0.00180409090909091</v>
      </c>
    </row>
    <row r="189" customFormat="false" ht="14.4" hidden="false" customHeight="false" outlineLevel="0" collapsed="false">
      <c r="A189" s="69" t="s">
        <v>160</v>
      </c>
      <c r="B189" s="70" t="s">
        <v>161</v>
      </c>
      <c r="C189" s="71" t="n">
        <v>97.33</v>
      </c>
      <c r="D189" s="72" t="n">
        <v>1</v>
      </c>
      <c r="E189" s="72" t="n">
        <f aca="false">D189*C189</f>
        <v>97.33</v>
      </c>
      <c r="F189" s="72" t="n">
        <f aca="false">E189/22</f>
        <v>4.42409090909091</v>
      </c>
      <c r="G189" s="73" t="n">
        <f aca="false">F189/1500</f>
        <v>0.00294939393939394</v>
      </c>
    </row>
    <row r="190" customFormat="false" ht="14.4" hidden="false" customHeight="false" outlineLevel="0" collapsed="false">
      <c r="A190" s="69" t="s">
        <v>162</v>
      </c>
      <c r="B190" s="70" t="s">
        <v>163</v>
      </c>
      <c r="C190" s="71" t="n">
        <v>67.32</v>
      </c>
      <c r="D190" s="72" t="n">
        <v>1</v>
      </c>
      <c r="E190" s="72" t="n">
        <f aca="false">D190*C190</f>
        <v>67.32</v>
      </c>
      <c r="F190" s="72" t="n">
        <f aca="false">E190/22</f>
        <v>3.06</v>
      </c>
      <c r="G190" s="73" t="n">
        <f aca="false">F190/1500</f>
        <v>0.00204</v>
      </c>
    </row>
    <row r="191" customFormat="false" ht="8.25" hidden="false" customHeight="true" outlineLevel="0" collapsed="false">
      <c r="A191" s="79"/>
      <c r="B191" s="75"/>
      <c r="C191" s="76"/>
      <c r="D191" s="60"/>
      <c r="E191" s="60"/>
      <c r="F191" s="60"/>
      <c r="G191" s="77"/>
    </row>
    <row r="192" customFormat="false" ht="14.25" hidden="false" customHeight="true" outlineLevel="0" collapsed="false">
      <c r="A192" s="96" t="s">
        <v>97</v>
      </c>
      <c r="B192" s="96"/>
      <c r="C192" s="97" t="n">
        <f aca="false">SUM(C193)</f>
        <v>30.74</v>
      </c>
      <c r="D192" s="97" t="n">
        <f aca="false">SUM(D193)</f>
        <v>22</v>
      </c>
      <c r="E192" s="97" t="n">
        <f aca="false">SUM(E193)</f>
        <v>676.28</v>
      </c>
      <c r="F192" s="97" t="n">
        <f aca="false">SUM(F193)</f>
        <v>30.74</v>
      </c>
      <c r="G192" s="98" t="n">
        <f aca="false">SUM(G193:G194)</f>
        <v>0.231106666666667</v>
      </c>
    </row>
    <row r="193" customFormat="false" ht="14.4" hidden="false" customHeight="false" outlineLevel="0" collapsed="false">
      <c r="A193" s="82" t="s">
        <v>164</v>
      </c>
      <c r="B193" s="83" t="s">
        <v>165</v>
      </c>
      <c r="C193" s="84" t="n">
        <v>30.74</v>
      </c>
      <c r="D193" s="85" t="n">
        <v>22</v>
      </c>
      <c r="E193" s="85" t="n">
        <f aca="false">D193*C193</f>
        <v>676.28</v>
      </c>
      <c r="F193" s="85" t="n">
        <f aca="false">E193/22</f>
        <v>30.74</v>
      </c>
      <c r="G193" s="73" t="n">
        <f aca="false">F193/1500</f>
        <v>0.0204933333333333</v>
      </c>
    </row>
    <row r="194" customFormat="false" ht="14.4" hidden="false" customHeight="false" outlineLevel="0" collapsed="false">
      <c r="A194" s="82" t="s">
        <v>166</v>
      </c>
      <c r="B194" s="70" t="s">
        <v>99</v>
      </c>
      <c r="C194" s="71" t="n">
        <f aca="false">84.4+231.52</f>
        <v>315.92</v>
      </c>
      <c r="D194" s="72" t="n">
        <v>22</v>
      </c>
      <c r="E194" s="72" t="n">
        <f aca="false">D194*C194</f>
        <v>6950.24</v>
      </c>
      <c r="F194" s="72" t="n">
        <f aca="false">E194/22</f>
        <v>315.92</v>
      </c>
      <c r="G194" s="73" t="n">
        <f aca="false">F194/1500</f>
        <v>0.210613333333333</v>
      </c>
    </row>
    <row r="195" customFormat="false" ht="7.5" hidden="false" customHeight="true" outlineLevel="0" collapsed="false">
      <c r="A195" s="74"/>
      <c r="B195" s="75"/>
      <c r="C195" s="76"/>
      <c r="D195" s="60"/>
      <c r="E195" s="60"/>
      <c r="F195" s="60"/>
      <c r="G195" s="77"/>
    </row>
    <row r="196" customFormat="false" ht="35.05" hidden="false" customHeight="false" outlineLevel="0" collapsed="false">
      <c r="A196" s="61" t="s">
        <v>167</v>
      </c>
      <c r="B196" s="62" t="s">
        <v>168</v>
      </c>
      <c r="C196" s="63" t="n">
        <f aca="false">SUM(C197,C204,C208)</f>
        <v>5106.28</v>
      </c>
      <c r="D196" s="99"/>
      <c r="E196" s="99"/>
      <c r="F196" s="63" t="n">
        <f aca="false">ROUND(F197+F204+F208,2)</f>
        <v>5131.99</v>
      </c>
      <c r="G196" s="64" t="n">
        <f aca="false">SUM(G197,G204,G208)</f>
        <v>3.42132484848485</v>
      </c>
    </row>
    <row r="197" customFormat="false" ht="14.25" hidden="false" customHeight="true" outlineLevel="0" collapsed="false">
      <c r="A197" s="66" t="s">
        <v>70</v>
      </c>
      <c r="B197" s="66"/>
      <c r="C197" s="67" t="n">
        <f aca="false">SUM(C198:C203)</f>
        <v>1961.25</v>
      </c>
      <c r="D197" s="67" t="n">
        <f aca="false">SUM(D198:D203)</f>
        <v>110</v>
      </c>
      <c r="E197" s="67" t="n">
        <f aca="false">SUM(E198:E203)</f>
        <v>43147.5</v>
      </c>
      <c r="F197" s="67" t="n">
        <f aca="false">SUM(F198:F203)</f>
        <v>1961.25</v>
      </c>
      <c r="G197" s="78" t="n">
        <f aca="false">SUM(G198:G202)</f>
        <v>1.3075</v>
      </c>
    </row>
    <row r="198" customFormat="false" ht="14.4" hidden="false" customHeight="false" outlineLevel="0" collapsed="false">
      <c r="A198" s="69" t="s">
        <v>169</v>
      </c>
      <c r="B198" s="70" t="s">
        <v>170</v>
      </c>
      <c r="C198" s="71" t="n">
        <v>810.64</v>
      </c>
      <c r="D198" s="72" t="n">
        <v>22</v>
      </c>
      <c r="E198" s="72" t="n">
        <f aca="false">D198*C198</f>
        <v>17834.08</v>
      </c>
      <c r="F198" s="72" t="n">
        <f aca="false">E198/22</f>
        <v>810.64</v>
      </c>
      <c r="G198" s="73" t="n">
        <f aca="false">F198/1500</f>
        <v>0.540426666666667</v>
      </c>
    </row>
    <row r="199" customFormat="false" ht="23.85" hidden="false" customHeight="false" outlineLevel="0" collapsed="false">
      <c r="A199" s="69" t="s">
        <v>171</v>
      </c>
      <c r="B199" s="70" t="s">
        <v>172</v>
      </c>
      <c r="C199" s="71" t="n">
        <v>851.13</v>
      </c>
      <c r="D199" s="72" t="n">
        <v>22</v>
      </c>
      <c r="E199" s="72" t="n">
        <f aca="false">D199*C199</f>
        <v>18724.86</v>
      </c>
      <c r="F199" s="72" t="n">
        <f aca="false">E199/22</f>
        <v>851.13</v>
      </c>
      <c r="G199" s="73" t="n">
        <f aca="false">F199/1500</f>
        <v>0.56742</v>
      </c>
    </row>
    <row r="200" customFormat="false" ht="14.4" hidden="false" customHeight="false" outlineLevel="0" collapsed="false">
      <c r="A200" s="69" t="s">
        <v>173</v>
      </c>
      <c r="B200" s="70" t="s">
        <v>174</v>
      </c>
      <c r="C200" s="71" t="n">
        <v>56.79</v>
      </c>
      <c r="D200" s="72" t="n">
        <v>22</v>
      </c>
      <c r="E200" s="72" t="n">
        <f aca="false">D200*C200</f>
        <v>1249.38</v>
      </c>
      <c r="F200" s="72" t="n">
        <f aca="false">E200/22</f>
        <v>56.79</v>
      </c>
      <c r="G200" s="73" t="n">
        <f aca="false">F200/1500</f>
        <v>0.03786</v>
      </c>
    </row>
    <row r="201" customFormat="false" ht="14.4" hidden="false" customHeight="false" outlineLevel="0" collapsed="false">
      <c r="A201" s="69" t="s">
        <v>175</v>
      </c>
      <c r="B201" s="70" t="s">
        <v>176</v>
      </c>
      <c r="C201" s="71" t="n">
        <v>146.68</v>
      </c>
      <c r="D201" s="72" t="n">
        <v>22</v>
      </c>
      <c r="E201" s="72" t="n">
        <f aca="false">D201*C201</f>
        <v>3226.96</v>
      </c>
      <c r="F201" s="72" t="n">
        <f aca="false">E201/22</f>
        <v>146.68</v>
      </c>
      <c r="G201" s="73" t="n">
        <f aca="false">F201/1500</f>
        <v>0.0977866666666667</v>
      </c>
    </row>
    <row r="202" customFormat="false" ht="14.4" hidden="false" customHeight="false" outlineLevel="0" collapsed="false">
      <c r="A202" s="69" t="s">
        <v>177</v>
      </c>
      <c r="B202" s="70" t="s">
        <v>178</v>
      </c>
      <c r="C202" s="71" t="n">
        <v>96.01</v>
      </c>
      <c r="D202" s="72" t="n">
        <v>22</v>
      </c>
      <c r="E202" s="72" t="n">
        <f aca="false">D202*C202</f>
        <v>2112.22</v>
      </c>
      <c r="F202" s="72" t="n">
        <f aca="false">E202/22</f>
        <v>96.01</v>
      </c>
      <c r="G202" s="73" t="n">
        <f aca="false">F202/1500</f>
        <v>0.0640066666666667</v>
      </c>
    </row>
    <row r="203" customFormat="false" ht="7.5" hidden="false" customHeight="true" outlineLevel="0" collapsed="false">
      <c r="A203" s="79"/>
      <c r="B203" s="75"/>
      <c r="C203" s="76"/>
      <c r="D203" s="60"/>
      <c r="E203" s="60"/>
      <c r="F203" s="60"/>
      <c r="G203" s="77"/>
    </row>
    <row r="204" customFormat="false" ht="14.25" hidden="false" customHeight="true" outlineLevel="0" collapsed="false">
      <c r="A204" s="66" t="s">
        <v>86</v>
      </c>
      <c r="B204" s="66"/>
      <c r="C204" s="67" t="n">
        <f aca="false">SUM(C205:C206)</f>
        <v>2359.19</v>
      </c>
      <c r="D204" s="67" t="n">
        <f aca="false">SUM(D205:D206)</f>
        <v>45</v>
      </c>
      <c r="E204" s="67" t="n">
        <f aca="false">SUM(E205:E206)</f>
        <v>50922.96</v>
      </c>
      <c r="F204" s="67" t="n">
        <f aca="false">SUM(F205:F206)</f>
        <v>2314.68</v>
      </c>
      <c r="G204" s="78" t="n">
        <f aca="false">SUM(G205:G206)</f>
        <v>1.54312</v>
      </c>
    </row>
    <row r="205" customFormat="false" ht="14.4" hidden="false" customHeight="false" outlineLevel="0" collapsed="false">
      <c r="A205" s="69" t="s">
        <v>179</v>
      </c>
      <c r="B205" s="70" t="s">
        <v>180</v>
      </c>
      <c r="C205" s="71" t="n">
        <v>1129.39</v>
      </c>
      <c r="D205" s="72" t="n">
        <v>44</v>
      </c>
      <c r="E205" s="72" t="n">
        <f aca="false">D205*C205</f>
        <v>49693.16</v>
      </c>
      <c r="F205" s="72" t="n">
        <f aca="false">E205/22</f>
        <v>2258.78</v>
      </c>
      <c r="G205" s="73" t="n">
        <f aca="false">F205/1500</f>
        <v>1.50585333333333</v>
      </c>
    </row>
    <row r="206" customFormat="false" ht="14.4" hidden="false" customHeight="false" outlineLevel="0" collapsed="false">
      <c r="A206" s="69" t="s">
        <v>181</v>
      </c>
      <c r="B206" s="70" t="s">
        <v>182</v>
      </c>
      <c r="C206" s="71" t="n">
        <v>1229.8</v>
      </c>
      <c r="D206" s="72" t="n">
        <v>1</v>
      </c>
      <c r="E206" s="72" t="n">
        <f aca="false">D206*C206</f>
        <v>1229.8</v>
      </c>
      <c r="F206" s="72" t="n">
        <f aca="false">E206/22</f>
        <v>55.9</v>
      </c>
      <c r="G206" s="73" t="n">
        <f aca="false">F206/1500</f>
        <v>0.0372666666666667</v>
      </c>
    </row>
    <row r="207" customFormat="false" ht="8.25" hidden="false" customHeight="true" outlineLevel="0" collapsed="false">
      <c r="A207" s="74"/>
      <c r="B207" s="75"/>
      <c r="C207" s="76"/>
      <c r="D207" s="60"/>
      <c r="E207" s="60"/>
      <c r="F207" s="60"/>
      <c r="G207" s="77"/>
    </row>
    <row r="208" customFormat="false" ht="14.25" hidden="false" customHeight="true" outlineLevel="0" collapsed="false">
      <c r="A208" s="66" t="s">
        <v>100</v>
      </c>
      <c r="B208" s="66"/>
      <c r="C208" s="67" t="n">
        <f aca="false">SUM(C209:C211)</f>
        <v>785.84</v>
      </c>
      <c r="D208" s="67" t="n">
        <f aca="false">SUM(D209:D211)</f>
        <v>46</v>
      </c>
      <c r="E208" s="67" t="n">
        <f aca="false">SUM(E209:E211)</f>
        <v>18833.26</v>
      </c>
      <c r="F208" s="67" t="n">
        <f aca="false">SUM(F209:F211)</f>
        <v>856.057272727273</v>
      </c>
      <c r="G208" s="78" t="n">
        <f aca="false">SUM(G209:G210)</f>
        <v>0.570704848484849</v>
      </c>
    </row>
    <row r="209" customFormat="false" ht="14.4" hidden="false" customHeight="false" outlineLevel="0" collapsed="false">
      <c r="A209" s="69" t="s">
        <v>183</v>
      </c>
      <c r="B209" s="70" t="s">
        <v>184</v>
      </c>
      <c r="C209" s="71" t="n">
        <v>410.99</v>
      </c>
      <c r="D209" s="72" t="n">
        <v>44</v>
      </c>
      <c r="E209" s="72" t="n">
        <f aca="false">D209*C209</f>
        <v>18083.56</v>
      </c>
      <c r="F209" s="72" t="n">
        <f aca="false">E209/22</f>
        <v>821.98</v>
      </c>
      <c r="G209" s="73" t="n">
        <f aca="false">F209/1500</f>
        <v>0.547986666666667</v>
      </c>
    </row>
    <row r="210" customFormat="false" ht="14.4" hidden="false" customHeight="false" outlineLevel="0" collapsed="false">
      <c r="A210" s="69" t="s">
        <v>185</v>
      </c>
      <c r="B210" s="70" t="s">
        <v>186</v>
      </c>
      <c r="C210" s="71" t="n">
        <v>374.85</v>
      </c>
      <c r="D210" s="72" t="n">
        <v>2</v>
      </c>
      <c r="E210" s="72" t="n">
        <f aca="false">D210*C210</f>
        <v>749.7</v>
      </c>
      <c r="F210" s="72" t="n">
        <f aca="false">E210/22</f>
        <v>34.0772727272727</v>
      </c>
      <c r="G210" s="73" t="n">
        <f aca="false">F210/1500</f>
        <v>0.0227181818181818</v>
      </c>
    </row>
    <row r="211" customFormat="false" ht="9" hidden="false" customHeight="true" outlineLevel="0" collapsed="false">
      <c r="A211" s="74"/>
      <c r="B211" s="75"/>
      <c r="C211" s="76"/>
      <c r="D211" s="60"/>
      <c r="E211" s="60"/>
      <c r="F211" s="60"/>
      <c r="G211" s="77"/>
    </row>
    <row r="212" customFormat="false" ht="46.25" hidden="false" customHeight="false" outlineLevel="0" collapsed="false">
      <c r="A212" s="61" t="s">
        <v>187</v>
      </c>
      <c r="B212" s="62" t="s">
        <v>188</v>
      </c>
      <c r="C212" s="63" t="n">
        <f aca="false">SUM(C213,C220,C224,C230,C234)</f>
        <v>517.06</v>
      </c>
      <c r="D212" s="99"/>
      <c r="E212" s="99"/>
      <c r="F212" s="63" t="n">
        <f aca="false">ROUND(F213+F220+F224+F230+F234,2)</f>
        <v>1153.16</v>
      </c>
      <c r="G212" s="64" t="n">
        <f aca="false">SUM(G213,G220,G224,G230,G234)</f>
        <v>5.7658</v>
      </c>
    </row>
    <row r="213" customFormat="false" ht="14.25" hidden="false" customHeight="true" outlineLevel="0" collapsed="false">
      <c r="A213" s="66" t="s">
        <v>70</v>
      </c>
      <c r="B213" s="66"/>
      <c r="C213" s="67" t="n">
        <f aca="false">SUM(C214:C219)</f>
        <v>261.8</v>
      </c>
      <c r="D213" s="67" t="n">
        <f aca="false">SUM(D214:D219)</f>
        <v>220</v>
      </c>
      <c r="E213" s="67" t="n">
        <f aca="false">SUM(E214:E219)</f>
        <v>13322.76</v>
      </c>
      <c r="F213" s="67" t="n">
        <f aca="false">SUM(F214:F219)</f>
        <v>605.58</v>
      </c>
      <c r="G213" s="78" t="n">
        <f aca="false">SUM(G214:G218)</f>
        <v>3.0279</v>
      </c>
    </row>
    <row r="214" customFormat="false" ht="23.85" hidden="false" customHeight="false" outlineLevel="0" collapsed="false">
      <c r="A214" s="69" t="s">
        <v>189</v>
      </c>
      <c r="B214" s="70" t="s">
        <v>190</v>
      </c>
      <c r="C214" s="71" t="n">
        <f aca="false">100.74</f>
        <v>100.74</v>
      </c>
      <c r="D214" s="72" t="n">
        <v>66</v>
      </c>
      <c r="E214" s="72" t="n">
        <f aca="false">D214*C214</f>
        <v>6648.84</v>
      </c>
      <c r="F214" s="72" t="n">
        <f aca="false">E214/22</f>
        <v>302.22</v>
      </c>
      <c r="G214" s="73" t="n">
        <f aca="false">F214/200</f>
        <v>1.5111</v>
      </c>
    </row>
    <row r="215" customFormat="false" ht="23.85" hidden="false" customHeight="false" outlineLevel="0" collapsed="false">
      <c r="A215" s="69" t="s">
        <v>191</v>
      </c>
      <c r="B215" s="70" t="s">
        <v>192</v>
      </c>
      <c r="C215" s="71" t="n">
        <v>89.49</v>
      </c>
      <c r="D215" s="72" t="n">
        <v>44</v>
      </c>
      <c r="E215" s="72" t="n">
        <f aca="false">D215*C215</f>
        <v>3937.56</v>
      </c>
      <c r="F215" s="72" t="n">
        <f aca="false">E215/22</f>
        <v>178.98</v>
      </c>
      <c r="G215" s="73" t="n">
        <f aca="false">F215/200</f>
        <v>0.8949</v>
      </c>
    </row>
    <row r="216" customFormat="false" ht="14.4" hidden="false" customHeight="false" outlineLevel="0" collapsed="false">
      <c r="A216" s="69" t="s">
        <v>193</v>
      </c>
      <c r="B216" s="70" t="s">
        <v>83</v>
      </c>
      <c r="C216" s="71" t="n">
        <v>18.76</v>
      </c>
      <c r="D216" s="72" t="n">
        <v>22</v>
      </c>
      <c r="E216" s="72" t="n">
        <f aca="false">D216*C216</f>
        <v>412.72</v>
      </c>
      <c r="F216" s="72" t="n">
        <f aca="false">E216/22</f>
        <v>18.76</v>
      </c>
      <c r="G216" s="73" t="n">
        <f aca="false">F216/200</f>
        <v>0.0938</v>
      </c>
    </row>
    <row r="217" customFormat="false" ht="14.4" hidden="false" customHeight="false" outlineLevel="0" collapsed="false">
      <c r="A217" s="69" t="s">
        <v>194</v>
      </c>
      <c r="B217" s="70" t="s">
        <v>195</v>
      </c>
      <c r="C217" s="71" t="n">
        <v>32.81</v>
      </c>
      <c r="D217" s="72" t="n">
        <v>44</v>
      </c>
      <c r="E217" s="72" t="n">
        <f aca="false">D217*C217</f>
        <v>1443.64</v>
      </c>
      <c r="F217" s="72" t="n">
        <f aca="false">E217/22</f>
        <v>65.62</v>
      </c>
      <c r="G217" s="73" t="n">
        <f aca="false">F217/200</f>
        <v>0.3281</v>
      </c>
    </row>
    <row r="218" customFormat="false" ht="14.4" hidden="false" customHeight="false" outlineLevel="0" collapsed="false">
      <c r="A218" s="69" t="s">
        <v>196</v>
      </c>
      <c r="B218" s="70" t="s">
        <v>85</v>
      </c>
      <c r="C218" s="71" t="n">
        <v>20</v>
      </c>
      <c r="D218" s="72" t="n">
        <v>44</v>
      </c>
      <c r="E218" s="72" t="n">
        <f aca="false">D218*C218</f>
        <v>880</v>
      </c>
      <c r="F218" s="72" t="n">
        <f aca="false">E218/22</f>
        <v>40</v>
      </c>
      <c r="G218" s="73" t="n">
        <f aca="false">F218/200</f>
        <v>0.2</v>
      </c>
    </row>
    <row r="219" customFormat="false" ht="7.5" hidden="false" customHeight="true" outlineLevel="0" collapsed="false">
      <c r="A219" s="74"/>
      <c r="B219" s="75"/>
      <c r="C219" s="76"/>
      <c r="D219" s="60"/>
      <c r="E219" s="60"/>
      <c r="F219" s="60"/>
      <c r="G219" s="77"/>
    </row>
    <row r="220" customFormat="false" ht="14.25" hidden="false" customHeight="true" outlineLevel="0" collapsed="false">
      <c r="A220" s="66" t="s">
        <v>86</v>
      </c>
      <c r="B220" s="66"/>
      <c r="C220" s="67" t="n">
        <f aca="false">SUM(C221:C223)</f>
        <v>111.06</v>
      </c>
      <c r="D220" s="67" t="n">
        <f aca="false">SUM(D221:D223)</f>
        <v>88</v>
      </c>
      <c r="E220" s="67" t="n">
        <f aca="false">SUM(E221:E223)</f>
        <v>4886.64</v>
      </c>
      <c r="F220" s="67" t="n">
        <f aca="false">SUM(F221:F223)</f>
        <v>222.12</v>
      </c>
      <c r="G220" s="78" t="n">
        <f aca="false">SUM(G221:G222)</f>
        <v>1.1106</v>
      </c>
    </row>
    <row r="221" customFormat="false" ht="14.4" hidden="false" customHeight="false" outlineLevel="0" collapsed="false">
      <c r="A221" s="69" t="s">
        <v>197</v>
      </c>
      <c r="B221" s="70" t="s">
        <v>198</v>
      </c>
      <c r="C221" s="71" t="n">
        <v>111.06</v>
      </c>
      <c r="D221" s="72" t="n">
        <v>44</v>
      </c>
      <c r="E221" s="72" t="n">
        <f aca="false">D221*C221</f>
        <v>4886.64</v>
      </c>
      <c r="F221" s="72" t="n">
        <f aca="false">E221/22</f>
        <v>222.12</v>
      </c>
      <c r="G221" s="73" t="n">
        <f aca="false">F221/200</f>
        <v>1.1106</v>
      </c>
    </row>
    <row r="222" customFormat="false" ht="14.4" hidden="false" customHeight="false" outlineLevel="0" collapsed="false">
      <c r="A222" s="69" t="s">
        <v>199</v>
      </c>
      <c r="B222" s="70" t="s">
        <v>122</v>
      </c>
      <c r="C222" s="71" t="n">
        <v>0</v>
      </c>
      <c r="D222" s="72" t="n">
        <v>44</v>
      </c>
      <c r="E222" s="72" t="n">
        <f aca="false">D222*C222</f>
        <v>0</v>
      </c>
      <c r="F222" s="72" t="n">
        <f aca="false">E222/22</f>
        <v>0</v>
      </c>
      <c r="G222" s="73" t="n">
        <f aca="false">F222/200</f>
        <v>0</v>
      </c>
    </row>
    <row r="223" customFormat="false" ht="7.5" hidden="false" customHeight="true" outlineLevel="0" collapsed="false">
      <c r="A223" s="74"/>
      <c r="B223" s="75"/>
      <c r="C223" s="76"/>
      <c r="D223" s="60"/>
      <c r="E223" s="60"/>
      <c r="F223" s="60"/>
      <c r="G223" s="77"/>
    </row>
    <row r="224" customFormat="false" ht="14.25" hidden="false" customHeight="true" outlineLevel="0" collapsed="false">
      <c r="A224" s="66" t="s">
        <v>92</v>
      </c>
      <c r="B224" s="66"/>
      <c r="C224" s="67" t="n">
        <f aca="false">SUM(C225:C228)</f>
        <v>28.02</v>
      </c>
      <c r="D224" s="67" t="n">
        <f aca="false">SUM(D225:D228)</f>
        <v>110</v>
      </c>
      <c r="E224" s="67" t="n">
        <f aca="false">SUM(E225:E228)</f>
        <v>749.32</v>
      </c>
      <c r="F224" s="67" t="n">
        <f aca="false">SUM(F225:F228)</f>
        <v>34.06</v>
      </c>
      <c r="G224" s="78" t="n">
        <f aca="false">SUM(G225:G228)</f>
        <v>0.1703</v>
      </c>
    </row>
    <row r="225" customFormat="false" ht="14.4" hidden="false" customHeight="false" outlineLevel="0" collapsed="false">
      <c r="A225" s="69" t="s">
        <v>200</v>
      </c>
      <c r="B225" s="70" t="s">
        <v>94</v>
      </c>
      <c r="C225" s="71" t="n">
        <v>6.04</v>
      </c>
      <c r="D225" s="72" t="n">
        <v>44</v>
      </c>
      <c r="E225" s="72" t="n">
        <f aca="false">D225*C225</f>
        <v>265.76</v>
      </c>
      <c r="F225" s="72" t="n">
        <f aca="false">E225/22</f>
        <v>12.08</v>
      </c>
      <c r="G225" s="73" t="n">
        <f aca="false">F225/200</f>
        <v>0.0604</v>
      </c>
    </row>
    <row r="226" customFormat="false" ht="14.4" hidden="false" customHeight="false" outlineLevel="0" collapsed="false">
      <c r="A226" s="69" t="s">
        <v>201</v>
      </c>
      <c r="B226" s="70" t="s">
        <v>128</v>
      </c>
      <c r="C226" s="71" t="n">
        <v>4.53</v>
      </c>
      <c r="D226" s="72" t="n">
        <v>22</v>
      </c>
      <c r="E226" s="72" t="n">
        <f aca="false">D226*C226</f>
        <v>99.66</v>
      </c>
      <c r="F226" s="72" t="n">
        <f aca="false">E226/22</f>
        <v>4.53</v>
      </c>
      <c r="G226" s="73" t="n">
        <f aca="false">F226/200</f>
        <v>0.02265</v>
      </c>
    </row>
    <row r="227" customFormat="false" ht="14.4" hidden="false" customHeight="false" outlineLevel="0" collapsed="false">
      <c r="A227" s="69" t="s">
        <v>202</v>
      </c>
      <c r="B227" s="70" t="s">
        <v>130</v>
      </c>
      <c r="C227" s="71" t="n">
        <v>8.7</v>
      </c>
      <c r="D227" s="72" t="n">
        <v>22</v>
      </c>
      <c r="E227" s="72" t="n">
        <f aca="false">D227*C227</f>
        <v>191.4</v>
      </c>
      <c r="F227" s="72" t="n">
        <f aca="false">E227/22</f>
        <v>8.7</v>
      </c>
      <c r="G227" s="73" t="n">
        <f aca="false">F227/200</f>
        <v>0.0435</v>
      </c>
    </row>
    <row r="228" customFormat="false" ht="14.4" hidden="false" customHeight="false" outlineLevel="0" collapsed="false">
      <c r="A228" s="69" t="s">
        <v>203</v>
      </c>
      <c r="B228" s="70" t="s">
        <v>147</v>
      </c>
      <c r="C228" s="71" t="n">
        <v>8.75</v>
      </c>
      <c r="D228" s="72" t="n">
        <v>22</v>
      </c>
      <c r="E228" s="72" t="n">
        <f aca="false">D228*C228</f>
        <v>192.5</v>
      </c>
      <c r="F228" s="72" t="n">
        <f aca="false">E228/22</f>
        <v>8.75</v>
      </c>
      <c r="G228" s="73" t="n">
        <f aca="false">F228/200</f>
        <v>0.04375</v>
      </c>
    </row>
    <row r="229" customFormat="false" ht="8.25" hidden="false" customHeight="true" outlineLevel="0" collapsed="false">
      <c r="A229" s="79"/>
      <c r="B229" s="75"/>
      <c r="C229" s="76"/>
      <c r="D229" s="60"/>
      <c r="E229" s="60"/>
      <c r="F229" s="60"/>
      <c r="G229" s="77"/>
    </row>
    <row r="230" customFormat="false" ht="14.25" hidden="false" customHeight="true" outlineLevel="0" collapsed="false">
      <c r="A230" s="66" t="s">
        <v>97</v>
      </c>
      <c r="B230" s="66"/>
      <c r="C230" s="67" t="n">
        <f aca="false">SUM(C231:C232)</f>
        <v>21.57</v>
      </c>
      <c r="D230" s="67" t="n">
        <f aca="false">SUM(D231:D232)</f>
        <v>66</v>
      </c>
      <c r="E230" s="67" t="n">
        <f aca="false">SUM(E231:E232)</f>
        <v>720.94</v>
      </c>
      <c r="F230" s="67" t="n">
        <f aca="false">SUM(F231:F232)</f>
        <v>32.77</v>
      </c>
      <c r="G230" s="78" t="n">
        <f aca="false">SUM(G231:G232)</f>
        <v>0.16385</v>
      </c>
    </row>
    <row r="231" customFormat="false" ht="14.4" hidden="false" customHeight="false" outlineLevel="0" collapsed="false">
      <c r="A231" s="69" t="s">
        <v>204</v>
      </c>
      <c r="B231" s="70" t="s">
        <v>99</v>
      </c>
      <c r="C231" s="71" t="n">
        <v>11.2</v>
      </c>
      <c r="D231" s="72" t="n">
        <v>44</v>
      </c>
      <c r="E231" s="72" t="n">
        <f aca="false">D231*C231</f>
        <v>492.8</v>
      </c>
      <c r="F231" s="72" t="n">
        <f aca="false">E231/22</f>
        <v>22.4</v>
      </c>
      <c r="G231" s="73" t="n">
        <f aca="false">F231/200</f>
        <v>0.112</v>
      </c>
    </row>
    <row r="232" customFormat="false" ht="14.4" hidden="false" customHeight="false" outlineLevel="0" collapsed="false">
      <c r="A232" s="69" t="s">
        <v>205</v>
      </c>
      <c r="B232" s="70" t="s">
        <v>165</v>
      </c>
      <c r="C232" s="71" t="n">
        <v>10.37</v>
      </c>
      <c r="D232" s="72" t="n">
        <v>22</v>
      </c>
      <c r="E232" s="72" t="n">
        <f aca="false">D232*C232</f>
        <v>228.14</v>
      </c>
      <c r="F232" s="72" t="n">
        <f aca="false">E232/22</f>
        <v>10.37</v>
      </c>
      <c r="G232" s="73" t="n">
        <f aca="false">F232/200</f>
        <v>0.05185</v>
      </c>
    </row>
    <row r="233" customFormat="false" ht="8.25" hidden="false" customHeight="true" outlineLevel="0" collapsed="false">
      <c r="A233" s="74"/>
      <c r="B233" s="75"/>
      <c r="C233" s="76"/>
      <c r="D233" s="60"/>
      <c r="E233" s="60"/>
      <c r="F233" s="60"/>
      <c r="G233" s="77"/>
    </row>
    <row r="234" customFormat="false" ht="14.25" hidden="false" customHeight="true" outlineLevel="0" collapsed="false">
      <c r="A234" s="66" t="s">
        <v>100</v>
      </c>
      <c r="B234" s="66"/>
      <c r="C234" s="67" t="n">
        <f aca="false">SUM(C235:C237)</f>
        <v>94.61</v>
      </c>
      <c r="D234" s="67" t="n">
        <f aca="false">SUM(D235:D237)</f>
        <v>154</v>
      </c>
      <c r="E234" s="67" t="n">
        <f aca="false">SUM(E235:E237)</f>
        <v>5689.86</v>
      </c>
      <c r="F234" s="67" t="n">
        <f aca="false">SUM(F235:F237)</f>
        <v>258.63</v>
      </c>
      <c r="G234" s="78" t="n">
        <f aca="false">SUM(G235:G237)</f>
        <v>1.29315</v>
      </c>
    </row>
    <row r="235" customFormat="false" ht="14.4" hidden="false" customHeight="false" outlineLevel="0" collapsed="false">
      <c r="A235" s="69" t="s">
        <v>206</v>
      </c>
      <c r="B235" s="70" t="s">
        <v>108</v>
      </c>
      <c r="C235" s="71" t="n">
        <v>12.6</v>
      </c>
      <c r="D235" s="72" t="n">
        <v>22</v>
      </c>
      <c r="E235" s="72" t="n">
        <f aca="false">D235*C235</f>
        <v>277.2</v>
      </c>
      <c r="F235" s="72" t="n">
        <f aca="false">E235/22</f>
        <v>12.6</v>
      </c>
      <c r="G235" s="73" t="n">
        <f aca="false">F235/200</f>
        <v>0.063</v>
      </c>
    </row>
    <row r="236" customFormat="false" ht="14.4" hidden="false" customHeight="false" outlineLevel="0" collapsed="false">
      <c r="A236" s="69" t="s">
        <v>207</v>
      </c>
      <c r="B236" s="70" t="s">
        <v>208</v>
      </c>
      <c r="C236" s="71" t="n">
        <v>79.85</v>
      </c>
      <c r="D236" s="72" t="n">
        <v>66</v>
      </c>
      <c r="E236" s="72" t="n">
        <f aca="false">D236*C236</f>
        <v>5270.1</v>
      </c>
      <c r="F236" s="72" t="n">
        <f aca="false">E236/22</f>
        <v>239.55</v>
      </c>
      <c r="G236" s="73" t="n">
        <f aca="false">F236/200</f>
        <v>1.19775</v>
      </c>
      <c r="I236" s="100"/>
    </row>
    <row r="237" customFormat="false" ht="14.4" hidden="false" customHeight="false" outlineLevel="0" collapsed="false">
      <c r="A237" s="69" t="s">
        <v>209</v>
      </c>
      <c r="B237" s="70" t="s">
        <v>210</v>
      </c>
      <c r="C237" s="71" t="n">
        <v>2.16</v>
      </c>
      <c r="D237" s="72" t="n">
        <v>66</v>
      </c>
      <c r="E237" s="72" t="n">
        <f aca="false">D237*C237</f>
        <v>142.56</v>
      </c>
      <c r="F237" s="72" t="n">
        <f aca="false">E237/22</f>
        <v>6.48</v>
      </c>
      <c r="G237" s="73" t="n">
        <f aca="false">F237/200</f>
        <v>0.0324</v>
      </c>
    </row>
    <row r="238" customFormat="false" ht="14.4" hidden="false" customHeight="false" outlineLevel="0" collapsed="false">
      <c r="A238" s="101"/>
      <c r="B238" s="70"/>
      <c r="C238" s="71"/>
      <c r="D238" s="72"/>
      <c r="E238" s="72"/>
      <c r="F238" s="72"/>
      <c r="G238" s="73"/>
    </row>
    <row r="239" customFormat="false" ht="14.4" hidden="false" customHeight="false" outlineLevel="0" collapsed="false">
      <c r="A239" s="56" t="s">
        <v>211</v>
      </c>
      <c r="B239" s="102" t="s">
        <v>212</v>
      </c>
      <c r="C239" s="103" t="n">
        <f aca="false">SUM(C240,C265,C275,C291,C315)</f>
        <v>92216.34</v>
      </c>
      <c r="D239" s="103" t="n">
        <f aca="false">SUM(D240,D265,D275,D291,D315)</f>
        <v>524.916666666667</v>
      </c>
      <c r="E239" s="103" t="n">
        <f aca="false">SUM(E240,E265,E275,E291,E315)</f>
        <v>566385.960833333</v>
      </c>
      <c r="F239" s="103" t="n">
        <f aca="false">SUM(F240,F265,F275,F291,F315)</f>
        <v>25744.82</v>
      </c>
      <c r="G239" s="59" t="n">
        <f aca="false">ROUNDUP(SUM(G240,G265,G275,G291,G315),0)</f>
        <v>7</v>
      </c>
    </row>
    <row r="240" customFormat="false" ht="46.25" hidden="false" customHeight="false" outlineLevel="0" collapsed="false">
      <c r="A240" s="61" t="s">
        <v>213</v>
      </c>
      <c r="B240" s="62" t="s">
        <v>214</v>
      </c>
      <c r="C240" s="63" t="n">
        <f aca="false">SUM(C241,C246,C249,C257,C260)</f>
        <v>4505.65</v>
      </c>
      <c r="D240" s="63" t="n">
        <f aca="false">SUM(D241,D246,D249,D257,D260)</f>
        <v>308</v>
      </c>
      <c r="E240" s="63" t="n">
        <f aca="false">SUM(E241,E246,E249,E257,E260)</f>
        <v>99124.3</v>
      </c>
      <c r="F240" s="63" t="n">
        <f aca="false">ROUND(F241+F246+F249+F257+F260,2)</f>
        <v>4505.65</v>
      </c>
      <c r="G240" s="64" t="n">
        <f aca="false">SUM(G241,G246,G249,G257,G260)</f>
        <v>2.50313888888889</v>
      </c>
    </row>
    <row r="241" customFormat="false" ht="14.25" hidden="false" customHeight="true" outlineLevel="0" collapsed="false">
      <c r="A241" s="66" t="s">
        <v>70</v>
      </c>
      <c r="B241" s="66"/>
      <c r="C241" s="67" t="n">
        <f aca="false">SUM(C242:C245)</f>
        <v>1583.64</v>
      </c>
      <c r="D241" s="67" t="n">
        <f aca="false">SUM(D242:D245)</f>
        <v>66</v>
      </c>
      <c r="E241" s="67" t="n">
        <f aca="false">SUM(E242:E245)</f>
        <v>34840.08</v>
      </c>
      <c r="F241" s="67" t="n">
        <f aca="false">SUM(F242:F245)</f>
        <v>1583.64</v>
      </c>
      <c r="G241" s="78" t="n">
        <f aca="false">SUM(G242:G244)</f>
        <v>0.8798</v>
      </c>
    </row>
    <row r="242" customFormat="false" ht="14.4" hidden="false" customHeight="false" outlineLevel="0" collapsed="false">
      <c r="A242" s="69" t="s">
        <v>215</v>
      </c>
      <c r="B242" s="70" t="s">
        <v>216</v>
      </c>
      <c r="C242" s="71" t="n">
        <v>1307.23</v>
      </c>
      <c r="D242" s="72" t="n">
        <v>22</v>
      </c>
      <c r="E242" s="72" t="n">
        <f aca="false">D242*C242</f>
        <v>28759.06</v>
      </c>
      <c r="F242" s="72" t="n">
        <f aca="false">E242/22</f>
        <v>1307.23</v>
      </c>
      <c r="G242" s="73" t="n">
        <f aca="false">F242/1800</f>
        <v>0.726238888888889</v>
      </c>
    </row>
    <row r="243" customFormat="false" ht="23.85" hidden="false" customHeight="false" outlineLevel="0" collapsed="false">
      <c r="A243" s="69" t="s">
        <v>217</v>
      </c>
      <c r="B243" s="70" t="s">
        <v>218</v>
      </c>
      <c r="C243" s="71" t="n">
        <v>159.84</v>
      </c>
      <c r="D243" s="72" t="n">
        <v>22</v>
      </c>
      <c r="E243" s="72" t="n">
        <f aca="false">D243*C243</f>
        <v>3516.48</v>
      </c>
      <c r="F243" s="72" t="n">
        <f aca="false">E243/22</f>
        <v>159.84</v>
      </c>
      <c r="G243" s="73" t="n">
        <f aca="false">F243/1800</f>
        <v>0.0888</v>
      </c>
    </row>
    <row r="244" customFormat="false" ht="23.85" hidden="false" customHeight="false" outlineLevel="0" collapsed="false">
      <c r="A244" s="69" t="s">
        <v>219</v>
      </c>
      <c r="B244" s="70" t="s">
        <v>220</v>
      </c>
      <c r="C244" s="71" t="n">
        <v>116.57</v>
      </c>
      <c r="D244" s="72" t="n">
        <v>22</v>
      </c>
      <c r="E244" s="72" t="n">
        <f aca="false">D244*C244</f>
        <v>2564.54</v>
      </c>
      <c r="F244" s="72" t="n">
        <f aca="false">E244/22</f>
        <v>116.57</v>
      </c>
      <c r="G244" s="73" t="n">
        <f aca="false">F244/1800</f>
        <v>0.0647611111111111</v>
      </c>
    </row>
    <row r="245" customFormat="false" ht="9.75" hidden="false" customHeight="true" outlineLevel="0" collapsed="false">
      <c r="A245" s="74"/>
      <c r="B245" s="75"/>
      <c r="C245" s="76"/>
      <c r="D245" s="60"/>
      <c r="E245" s="60"/>
      <c r="F245" s="60"/>
      <c r="G245" s="77"/>
    </row>
    <row r="246" customFormat="false" ht="14.25" hidden="false" customHeight="true" outlineLevel="0" collapsed="false">
      <c r="A246" s="66" t="s">
        <v>86</v>
      </c>
      <c r="B246" s="66"/>
      <c r="C246" s="67" t="n">
        <f aca="false">SUM(C247:C248)</f>
        <v>1091.39</v>
      </c>
      <c r="D246" s="67" t="n">
        <f aca="false">SUM(D247:D248)</f>
        <v>22</v>
      </c>
      <c r="E246" s="67" t="n">
        <f aca="false">SUM(E247:E248)</f>
        <v>24010.58</v>
      </c>
      <c r="F246" s="67" t="n">
        <f aca="false">SUM(F247:F248)</f>
        <v>1091.39</v>
      </c>
      <c r="G246" s="78" t="n">
        <f aca="false">SUM(G247)</f>
        <v>0.606327777777778</v>
      </c>
    </row>
    <row r="247" customFormat="false" ht="14.4" hidden="false" customHeight="false" outlineLevel="0" collapsed="false">
      <c r="A247" s="69" t="s">
        <v>221</v>
      </c>
      <c r="B247" s="70" t="s">
        <v>222</v>
      </c>
      <c r="C247" s="71" t="n">
        <v>1091.39</v>
      </c>
      <c r="D247" s="72" t="n">
        <v>22</v>
      </c>
      <c r="E247" s="72" t="n">
        <f aca="false">D247*C247</f>
        <v>24010.58</v>
      </c>
      <c r="F247" s="72" t="n">
        <f aca="false">E247/22</f>
        <v>1091.39</v>
      </c>
      <c r="G247" s="73" t="n">
        <f aca="false">F247/1800</f>
        <v>0.606327777777778</v>
      </c>
    </row>
    <row r="248" customFormat="false" ht="7.5" hidden="false" customHeight="true" outlineLevel="0" collapsed="false">
      <c r="A248" s="74"/>
      <c r="B248" s="75"/>
      <c r="C248" s="76"/>
      <c r="D248" s="60"/>
      <c r="E248" s="60"/>
      <c r="F248" s="60"/>
      <c r="G248" s="77"/>
    </row>
    <row r="249" customFormat="false" ht="14.25" hidden="false" customHeight="true" outlineLevel="0" collapsed="false">
      <c r="A249" s="66" t="s">
        <v>92</v>
      </c>
      <c r="B249" s="66"/>
      <c r="C249" s="67" t="n">
        <f aca="false">SUM(C250:C256)</f>
        <v>769.96</v>
      </c>
      <c r="D249" s="67" t="n">
        <f aca="false">SUM(D250:D256)</f>
        <v>132</v>
      </c>
      <c r="E249" s="67" t="n">
        <f aca="false">SUM(E250:E256)</f>
        <v>16939.12</v>
      </c>
      <c r="F249" s="67" t="n">
        <f aca="false">SUM(F250:F256)</f>
        <v>769.96</v>
      </c>
      <c r="G249" s="78" t="n">
        <f aca="false">SUM(G250:G255)</f>
        <v>0.427755555555556</v>
      </c>
    </row>
    <row r="250" customFormat="false" ht="14.4" hidden="false" customHeight="false" outlineLevel="0" collapsed="false">
      <c r="A250" s="69" t="s">
        <v>223</v>
      </c>
      <c r="B250" s="70" t="s">
        <v>224</v>
      </c>
      <c r="C250" s="71" t="n">
        <v>37.8</v>
      </c>
      <c r="D250" s="72" t="n">
        <v>22</v>
      </c>
      <c r="E250" s="72" t="n">
        <f aca="false">D250*C250</f>
        <v>831.6</v>
      </c>
      <c r="F250" s="72" t="n">
        <f aca="false">E250/22</f>
        <v>37.8</v>
      </c>
      <c r="G250" s="73" t="n">
        <f aca="false">F250/1800</f>
        <v>0.021</v>
      </c>
    </row>
    <row r="251" customFormat="false" ht="23.85" hidden="false" customHeight="false" outlineLevel="0" collapsed="false">
      <c r="A251" s="69" t="s">
        <v>225</v>
      </c>
      <c r="B251" s="70" t="s">
        <v>226</v>
      </c>
      <c r="C251" s="71" t="n">
        <v>412.8</v>
      </c>
      <c r="D251" s="72" t="n">
        <v>22</v>
      </c>
      <c r="E251" s="72" t="n">
        <f aca="false">D251*C251</f>
        <v>9081.6</v>
      </c>
      <c r="F251" s="72" t="n">
        <f aca="false">E251/22</f>
        <v>412.8</v>
      </c>
      <c r="G251" s="73" t="n">
        <f aca="false">F251/1800</f>
        <v>0.229333333333333</v>
      </c>
    </row>
    <row r="252" customFormat="false" ht="14.4" hidden="false" customHeight="false" outlineLevel="0" collapsed="false">
      <c r="A252" s="69" t="s">
        <v>227</v>
      </c>
      <c r="B252" s="70" t="s">
        <v>228</v>
      </c>
      <c r="C252" s="71" t="n">
        <v>66.3</v>
      </c>
      <c r="D252" s="72" t="n">
        <v>22</v>
      </c>
      <c r="E252" s="72" t="n">
        <f aca="false">D252*C252</f>
        <v>1458.6</v>
      </c>
      <c r="F252" s="72" t="n">
        <f aca="false">E252/22</f>
        <v>66.3</v>
      </c>
      <c r="G252" s="73" t="n">
        <f aca="false">F252/1800</f>
        <v>0.0368333333333333</v>
      </c>
    </row>
    <row r="253" customFormat="false" ht="23.85" hidden="false" customHeight="false" outlineLevel="0" collapsed="false">
      <c r="A253" s="69" t="s">
        <v>229</v>
      </c>
      <c r="B253" s="70" t="s">
        <v>230</v>
      </c>
      <c r="C253" s="71" t="n">
        <v>73.2</v>
      </c>
      <c r="D253" s="72" t="n">
        <v>22</v>
      </c>
      <c r="E253" s="72" t="n">
        <f aca="false">D253*C253</f>
        <v>1610.4</v>
      </c>
      <c r="F253" s="72" t="n">
        <f aca="false">E253/22</f>
        <v>73.2</v>
      </c>
      <c r="G253" s="73" t="n">
        <f aca="false">F253/1800</f>
        <v>0.0406666666666667</v>
      </c>
    </row>
    <row r="254" customFormat="false" ht="14.4" hidden="false" customHeight="false" outlineLevel="0" collapsed="false">
      <c r="A254" s="69" t="s">
        <v>231</v>
      </c>
      <c r="B254" s="70" t="s">
        <v>232</v>
      </c>
      <c r="C254" s="71" t="n">
        <v>133.26</v>
      </c>
      <c r="D254" s="72" t="n">
        <v>22</v>
      </c>
      <c r="E254" s="72" t="n">
        <f aca="false">D254*C254</f>
        <v>2931.72</v>
      </c>
      <c r="F254" s="72" t="n">
        <f aca="false">E254/22</f>
        <v>133.26</v>
      </c>
      <c r="G254" s="73" t="n">
        <f aca="false">F254/1800</f>
        <v>0.0740333333333333</v>
      </c>
    </row>
    <row r="255" customFormat="false" ht="23.85" hidden="false" customHeight="false" outlineLevel="0" collapsed="false">
      <c r="A255" s="69" t="s">
        <v>233</v>
      </c>
      <c r="B255" s="70" t="s">
        <v>234</v>
      </c>
      <c r="C255" s="71" t="n">
        <v>46.6</v>
      </c>
      <c r="D255" s="72" t="n">
        <v>22</v>
      </c>
      <c r="E255" s="72" t="n">
        <f aca="false">D255*C255</f>
        <v>1025.2</v>
      </c>
      <c r="F255" s="72" t="n">
        <f aca="false">E255/22</f>
        <v>46.6</v>
      </c>
      <c r="G255" s="73" t="n">
        <f aca="false">F255/1800</f>
        <v>0.0258888888888889</v>
      </c>
    </row>
    <row r="256" customFormat="false" ht="8.25" hidden="false" customHeight="true" outlineLevel="0" collapsed="false">
      <c r="A256" s="74"/>
      <c r="B256" s="75"/>
      <c r="C256" s="76"/>
      <c r="D256" s="60"/>
      <c r="E256" s="60"/>
      <c r="F256" s="60"/>
      <c r="G256" s="77"/>
    </row>
    <row r="257" customFormat="false" ht="14.25" hidden="false" customHeight="true" outlineLevel="0" collapsed="false">
      <c r="A257" s="66" t="s">
        <v>97</v>
      </c>
      <c r="B257" s="66"/>
      <c r="C257" s="67" t="n">
        <f aca="false">SUM(C258)</f>
        <v>260.62</v>
      </c>
      <c r="D257" s="67" t="n">
        <f aca="false">SUM(D258)</f>
        <v>22</v>
      </c>
      <c r="E257" s="67" t="n">
        <f aca="false">SUM(E258)</f>
        <v>5733.64</v>
      </c>
      <c r="F257" s="67" t="n">
        <f aca="false">SUM(F258)</f>
        <v>260.62</v>
      </c>
      <c r="G257" s="78" t="n">
        <f aca="false">SUM(G258)</f>
        <v>0.144788888888889</v>
      </c>
    </row>
    <row r="258" customFormat="false" ht="14.4" hidden="false" customHeight="false" outlineLevel="0" collapsed="false">
      <c r="A258" s="69" t="s">
        <v>235</v>
      </c>
      <c r="B258" s="70" t="s">
        <v>236</v>
      </c>
      <c r="C258" s="71" t="n">
        <v>260.62</v>
      </c>
      <c r="D258" s="72" t="n">
        <v>22</v>
      </c>
      <c r="E258" s="72" t="n">
        <f aca="false">D258*C258</f>
        <v>5733.64</v>
      </c>
      <c r="F258" s="72" t="n">
        <f aca="false">E258/22</f>
        <v>260.62</v>
      </c>
      <c r="G258" s="73" t="n">
        <f aca="false">F258/1800</f>
        <v>0.144788888888889</v>
      </c>
    </row>
    <row r="259" customFormat="false" ht="7.5" hidden="false" customHeight="true" outlineLevel="0" collapsed="false">
      <c r="A259" s="74"/>
      <c r="B259" s="75"/>
      <c r="C259" s="76"/>
      <c r="D259" s="60"/>
      <c r="E259" s="60"/>
      <c r="F259" s="60"/>
      <c r="G259" s="77"/>
    </row>
    <row r="260" customFormat="false" ht="14.25" hidden="false" customHeight="true" outlineLevel="0" collapsed="false">
      <c r="A260" s="66" t="s">
        <v>100</v>
      </c>
      <c r="B260" s="66"/>
      <c r="C260" s="67" t="n">
        <f aca="false">SUM(C261:C264)</f>
        <v>800.04</v>
      </c>
      <c r="D260" s="67" t="n">
        <f aca="false">SUM(D261:D264)</f>
        <v>66</v>
      </c>
      <c r="E260" s="67" t="n">
        <f aca="false">SUM(E261:E264)</f>
        <v>17600.88</v>
      </c>
      <c r="F260" s="67" t="n">
        <f aca="false">SUM(F261:F264)</f>
        <v>800.04</v>
      </c>
      <c r="G260" s="78" t="n">
        <f aca="false">SUM(G261:G263)</f>
        <v>0.444466666666667</v>
      </c>
    </row>
    <row r="261" customFormat="false" ht="14.4" hidden="false" customHeight="false" outlineLevel="0" collapsed="false">
      <c r="A261" s="69" t="s">
        <v>237</v>
      </c>
      <c r="B261" s="70" t="s">
        <v>238</v>
      </c>
      <c r="C261" s="71" t="n">
        <v>319.99</v>
      </c>
      <c r="D261" s="72" t="n">
        <v>22</v>
      </c>
      <c r="E261" s="72" t="n">
        <f aca="false">D261*C261</f>
        <v>7039.78</v>
      </c>
      <c r="F261" s="72" t="n">
        <f aca="false">E261/22</f>
        <v>319.99</v>
      </c>
      <c r="G261" s="73" t="n">
        <f aca="false">F261/1800</f>
        <v>0.177772222222222</v>
      </c>
    </row>
    <row r="262" customFormat="false" ht="14.4" hidden="false" customHeight="false" outlineLevel="0" collapsed="false">
      <c r="A262" s="69" t="s">
        <v>239</v>
      </c>
      <c r="B262" s="70" t="s">
        <v>240</v>
      </c>
      <c r="C262" s="71" t="n">
        <v>26.63</v>
      </c>
      <c r="D262" s="72" t="n">
        <v>22</v>
      </c>
      <c r="E262" s="72" t="n">
        <f aca="false">D262*C262</f>
        <v>585.86</v>
      </c>
      <c r="F262" s="72" t="n">
        <f aca="false">E262/22</f>
        <v>26.63</v>
      </c>
      <c r="G262" s="73" t="n">
        <f aca="false">F262/1800</f>
        <v>0.0147944444444444</v>
      </c>
    </row>
    <row r="263" customFormat="false" ht="14.4" hidden="false" customHeight="false" outlineLevel="0" collapsed="false">
      <c r="A263" s="69" t="s">
        <v>241</v>
      </c>
      <c r="B263" s="70" t="s">
        <v>242</v>
      </c>
      <c r="C263" s="71" t="n">
        <v>453.42</v>
      </c>
      <c r="D263" s="72" t="n">
        <v>22</v>
      </c>
      <c r="E263" s="72" t="n">
        <f aca="false">D263*C263</f>
        <v>9975.24</v>
      </c>
      <c r="F263" s="72" t="n">
        <f aca="false">E263/22</f>
        <v>453.42</v>
      </c>
      <c r="G263" s="73" t="n">
        <f aca="false">F263/1800</f>
        <v>0.2519</v>
      </c>
    </row>
    <row r="264" customFormat="false" ht="7.5" hidden="false" customHeight="true" outlineLevel="0" collapsed="false">
      <c r="A264" s="74"/>
      <c r="B264" s="75"/>
      <c r="C264" s="76"/>
      <c r="D264" s="60"/>
      <c r="E264" s="60"/>
      <c r="F264" s="60"/>
      <c r="G264" s="77"/>
    </row>
    <row r="265" customFormat="false" ht="35.05" hidden="false" customHeight="false" outlineLevel="0" collapsed="false">
      <c r="A265" s="61" t="s">
        <v>243</v>
      </c>
      <c r="B265" s="62" t="s">
        <v>244</v>
      </c>
      <c r="C265" s="104" t="n">
        <f aca="false">SUM(C266,C272)</f>
        <v>7719.34</v>
      </c>
      <c r="D265" s="104" t="n">
        <f aca="false">SUM(D266,D272)</f>
        <v>110</v>
      </c>
      <c r="E265" s="104" t="n">
        <f aca="false">SUM(E266,E272)</f>
        <v>169825.48</v>
      </c>
      <c r="F265" s="104" t="n">
        <f aca="false">ROUND(F266+F272,2)</f>
        <v>7719.34</v>
      </c>
      <c r="G265" s="64" t="n">
        <f aca="false">SUM(G266,G272)</f>
        <v>1.28655666666667</v>
      </c>
    </row>
    <row r="266" customFormat="false" ht="14.25" hidden="false" customHeight="true" outlineLevel="0" collapsed="false">
      <c r="A266" s="66" t="s">
        <v>70</v>
      </c>
      <c r="B266" s="66"/>
      <c r="C266" s="67" t="n">
        <f aca="false">SUM(C267:C271)</f>
        <v>6285.15</v>
      </c>
      <c r="D266" s="67" t="n">
        <f aca="false">SUM(D267:D271)</f>
        <v>88</v>
      </c>
      <c r="E266" s="67" t="n">
        <f aca="false">SUM(E267:E271)</f>
        <v>138273.3</v>
      </c>
      <c r="F266" s="67" t="n">
        <f aca="false">SUM(F267:F271)</f>
        <v>6285.15</v>
      </c>
      <c r="G266" s="78" t="n">
        <f aca="false">SUM(G267:G270)</f>
        <v>1.047525</v>
      </c>
    </row>
    <row r="267" customFormat="false" ht="14.4" hidden="false" customHeight="false" outlineLevel="0" collapsed="false">
      <c r="A267" s="69" t="s">
        <v>245</v>
      </c>
      <c r="B267" s="70" t="s">
        <v>246</v>
      </c>
      <c r="C267" s="71" t="n">
        <v>3463.12</v>
      </c>
      <c r="D267" s="72" t="n">
        <v>22</v>
      </c>
      <c r="E267" s="72" t="n">
        <f aca="false">D267*C267</f>
        <v>76188.64</v>
      </c>
      <c r="F267" s="72" t="n">
        <f aca="false">E267/22</f>
        <v>3463.12</v>
      </c>
      <c r="G267" s="73" t="n">
        <f aca="false">F267/6000</f>
        <v>0.577186666666667</v>
      </c>
    </row>
    <row r="268" customFormat="false" ht="14.4" hidden="false" customHeight="false" outlineLevel="0" collapsed="false">
      <c r="A268" s="69" t="s">
        <v>247</v>
      </c>
      <c r="B268" s="70" t="s">
        <v>248</v>
      </c>
      <c r="C268" s="71" t="n">
        <v>237.93</v>
      </c>
      <c r="D268" s="72" t="n">
        <v>22</v>
      </c>
      <c r="E268" s="72" t="n">
        <f aca="false">D268*C268</f>
        <v>5234.46</v>
      </c>
      <c r="F268" s="72" t="n">
        <f aca="false">E268/22</f>
        <v>237.93</v>
      </c>
      <c r="G268" s="73" t="n">
        <f aca="false">F268/6000</f>
        <v>0.039655</v>
      </c>
    </row>
    <row r="269" customFormat="false" ht="14.4" hidden="false" customHeight="false" outlineLevel="0" collapsed="false">
      <c r="A269" s="69" t="s">
        <v>249</v>
      </c>
      <c r="B269" s="70" t="s">
        <v>250</v>
      </c>
      <c r="C269" s="71" t="n">
        <v>1780.67</v>
      </c>
      <c r="D269" s="72" t="n">
        <v>22</v>
      </c>
      <c r="E269" s="72" t="n">
        <f aca="false">D269*C269</f>
        <v>39174.74</v>
      </c>
      <c r="F269" s="72" t="n">
        <f aca="false">E269/22</f>
        <v>1780.67</v>
      </c>
      <c r="G269" s="73" t="n">
        <f aca="false">F269/6000</f>
        <v>0.296778333333333</v>
      </c>
    </row>
    <row r="270" customFormat="false" ht="14.4" hidden="false" customHeight="false" outlineLevel="0" collapsed="false">
      <c r="A270" s="69" t="s">
        <v>251</v>
      </c>
      <c r="B270" s="70" t="s">
        <v>252</v>
      </c>
      <c r="C270" s="71" t="n">
        <v>803.43</v>
      </c>
      <c r="D270" s="72" t="n">
        <v>22</v>
      </c>
      <c r="E270" s="72" t="n">
        <f aca="false">D270*C270</f>
        <v>17675.46</v>
      </c>
      <c r="F270" s="72" t="n">
        <f aca="false">E270/22</f>
        <v>803.43</v>
      </c>
      <c r="G270" s="73" t="n">
        <f aca="false">F270/6000</f>
        <v>0.133905</v>
      </c>
    </row>
    <row r="271" customFormat="false" ht="9" hidden="false" customHeight="true" outlineLevel="0" collapsed="false">
      <c r="A271" s="74"/>
      <c r="B271" s="75"/>
      <c r="C271" s="76"/>
      <c r="D271" s="60"/>
      <c r="E271" s="60"/>
      <c r="F271" s="60"/>
      <c r="G271" s="77"/>
    </row>
    <row r="272" customFormat="false" ht="14.25" hidden="false" customHeight="true" outlineLevel="0" collapsed="false">
      <c r="A272" s="66" t="s">
        <v>86</v>
      </c>
      <c r="B272" s="66"/>
      <c r="C272" s="67" t="n">
        <f aca="false">SUM(C273:C274)</f>
        <v>1434.19</v>
      </c>
      <c r="D272" s="67" t="n">
        <f aca="false">SUM(D273:D274)</f>
        <v>22</v>
      </c>
      <c r="E272" s="67" t="n">
        <f aca="false">SUM(E273:E274)</f>
        <v>31552.18</v>
      </c>
      <c r="F272" s="67" t="n">
        <f aca="false">SUM(F273:F274)</f>
        <v>1434.19</v>
      </c>
      <c r="G272" s="78" t="n">
        <f aca="false">SUM(G273)</f>
        <v>0.239031666666667</v>
      </c>
    </row>
    <row r="273" customFormat="false" ht="14.4" hidden="false" customHeight="false" outlineLevel="0" collapsed="false">
      <c r="A273" s="69" t="s">
        <v>253</v>
      </c>
      <c r="B273" s="70" t="s">
        <v>254</v>
      </c>
      <c r="C273" s="71" t="n">
        <v>1434.19</v>
      </c>
      <c r="D273" s="72" t="n">
        <v>22</v>
      </c>
      <c r="E273" s="72" t="n">
        <f aca="false">D273*C273</f>
        <v>31552.18</v>
      </c>
      <c r="F273" s="72" t="n">
        <f aca="false">E273/22</f>
        <v>1434.19</v>
      </c>
      <c r="G273" s="73" t="n">
        <f aca="false">F273/6000</f>
        <v>0.239031666666667</v>
      </c>
    </row>
    <row r="274" customFormat="false" ht="9" hidden="false" customHeight="true" outlineLevel="0" collapsed="false">
      <c r="A274" s="74"/>
      <c r="B274" s="75"/>
      <c r="C274" s="76"/>
      <c r="D274" s="60"/>
      <c r="E274" s="60"/>
      <c r="F274" s="60"/>
      <c r="G274" s="77"/>
    </row>
    <row r="275" customFormat="false" ht="35.05" hidden="false" customHeight="false" outlineLevel="0" collapsed="false">
      <c r="A275" s="61" t="s">
        <v>255</v>
      </c>
      <c r="B275" s="62" t="s">
        <v>256</v>
      </c>
      <c r="C275" s="104" t="n">
        <f aca="false">SUM(C276,C281,C284,C288)</f>
        <v>7173.28</v>
      </c>
      <c r="D275" s="104" t="n">
        <f aca="false">SUM(D276,D281,D284,D288)</f>
        <v>77</v>
      </c>
      <c r="E275" s="104" t="n">
        <f aca="false">SUM(E276,E281,E284,E288)</f>
        <v>78906.08</v>
      </c>
      <c r="F275" s="104" t="n">
        <f aca="false">ROUND(F276+F281+F284+F288,2)</f>
        <v>3586.64</v>
      </c>
      <c r="G275" s="64" t="n">
        <f aca="false">SUM(G276,G281,G284,G288)</f>
        <v>1.99257777777778</v>
      </c>
    </row>
    <row r="276" customFormat="false" ht="14.25" hidden="false" customHeight="true" outlineLevel="0" collapsed="false">
      <c r="A276" s="66" t="s">
        <v>70</v>
      </c>
      <c r="B276" s="66"/>
      <c r="C276" s="67" t="n">
        <f aca="false">SUM(C277:C280)</f>
        <v>4102.2</v>
      </c>
      <c r="D276" s="67" t="n">
        <f aca="false">SUM(D277:D280)</f>
        <v>33</v>
      </c>
      <c r="E276" s="67" t="n">
        <f aca="false">SUM(E277:E280)</f>
        <v>45124.2</v>
      </c>
      <c r="F276" s="67" t="n">
        <f aca="false">SUM(F277:F280)</f>
        <v>2051.1</v>
      </c>
      <c r="G276" s="78" t="n">
        <f aca="false">SUM(G277:G279)</f>
        <v>1.1395</v>
      </c>
    </row>
    <row r="277" customFormat="false" ht="14.4" hidden="false" customHeight="false" outlineLevel="0" collapsed="false">
      <c r="A277" s="69" t="s">
        <v>257</v>
      </c>
      <c r="B277" s="70" t="s">
        <v>258</v>
      </c>
      <c r="C277" s="71" t="n">
        <v>3237.04</v>
      </c>
      <c r="D277" s="72" t="n">
        <v>11</v>
      </c>
      <c r="E277" s="72" t="n">
        <f aca="false">D277*C277</f>
        <v>35607.44</v>
      </c>
      <c r="F277" s="72" t="n">
        <f aca="false">E277/22</f>
        <v>1618.52</v>
      </c>
      <c r="G277" s="73" t="n">
        <f aca="false">F277/1800</f>
        <v>0.899177777777778</v>
      </c>
    </row>
    <row r="278" customFormat="false" ht="14.4" hidden="false" customHeight="false" outlineLevel="0" collapsed="false">
      <c r="A278" s="69" t="s">
        <v>259</v>
      </c>
      <c r="B278" s="70" t="s">
        <v>260</v>
      </c>
      <c r="C278" s="71" t="n">
        <v>626.76</v>
      </c>
      <c r="D278" s="72" t="n">
        <v>11</v>
      </c>
      <c r="E278" s="72" t="n">
        <f aca="false">D278*C278</f>
        <v>6894.36</v>
      </c>
      <c r="F278" s="72" t="n">
        <f aca="false">E278/22</f>
        <v>313.38</v>
      </c>
      <c r="G278" s="73" t="n">
        <f aca="false">F278/1800</f>
        <v>0.1741</v>
      </c>
    </row>
    <row r="279" customFormat="false" ht="14.4" hidden="false" customHeight="false" outlineLevel="0" collapsed="false">
      <c r="A279" s="69" t="s">
        <v>261</v>
      </c>
      <c r="B279" s="70" t="s">
        <v>262</v>
      </c>
      <c r="C279" s="71" t="n">
        <v>238.4</v>
      </c>
      <c r="D279" s="72" t="n">
        <v>11</v>
      </c>
      <c r="E279" s="72" t="n">
        <f aca="false">D279*C279</f>
        <v>2622.4</v>
      </c>
      <c r="F279" s="72" t="n">
        <f aca="false">E279/22</f>
        <v>119.2</v>
      </c>
      <c r="G279" s="73" t="n">
        <f aca="false">F279/1800</f>
        <v>0.0662222222222222</v>
      </c>
    </row>
    <row r="280" customFormat="false" ht="7.5" hidden="false" customHeight="true" outlineLevel="0" collapsed="false">
      <c r="A280" s="74"/>
      <c r="B280" s="75"/>
      <c r="C280" s="76"/>
      <c r="D280" s="60"/>
      <c r="E280" s="60"/>
      <c r="F280" s="60"/>
      <c r="G280" s="77"/>
    </row>
    <row r="281" customFormat="false" ht="14.25" hidden="false" customHeight="true" outlineLevel="0" collapsed="false">
      <c r="A281" s="66" t="s">
        <v>86</v>
      </c>
      <c r="B281" s="66"/>
      <c r="C281" s="67" t="n">
        <f aca="false">SUM(C282)</f>
        <v>2551.86</v>
      </c>
      <c r="D281" s="67" t="n">
        <f aca="false">SUM(D282)</f>
        <v>11</v>
      </c>
      <c r="E281" s="67" t="n">
        <f aca="false">SUM(E282)</f>
        <v>28070.46</v>
      </c>
      <c r="F281" s="67" t="n">
        <f aca="false">SUM(F282)</f>
        <v>1275.93</v>
      </c>
      <c r="G281" s="78" t="n">
        <f aca="false">SUM(G282)</f>
        <v>0.70885</v>
      </c>
    </row>
    <row r="282" customFormat="false" ht="14.4" hidden="false" customHeight="false" outlineLevel="0" collapsed="false">
      <c r="A282" s="69" t="s">
        <v>263</v>
      </c>
      <c r="B282" s="70" t="s">
        <v>258</v>
      </c>
      <c r="C282" s="71" t="n">
        <v>2551.86</v>
      </c>
      <c r="D282" s="72" t="n">
        <v>11</v>
      </c>
      <c r="E282" s="72" t="n">
        <f aca="false">D282*C282</f>
        <v>28070.46</v>
      </c>
      <c r="F282" s="72" t="n">
        <f aca="false">E282/22</f>
        <v>1275.93</v>
      </c>
      <c r="G282" s="73" t="n">
        <f aca="false">F282/1800</f>
        <v>0.70885</v>
      </c>
    </row>
    <row r="283" customFormat="false" ht="8.25" hidden="false" customHeight="true" outlineLevel="0" collapsed="false">
      <c r="A283" s="105"/>
      <c r="B283" s="106"/>
      <c r="C283" s="76"/>
      <c r="D283" s="60"/>
      <c r="E283" s="60"/>
      <c r="F283" s="60"/>
      <c r="G283" s="77"/>
    </row>
    <row r="284" customFormat="false" ht="14.25" hidden="false" customHeight="true" outlineLevel="0" collapsed="false">
      <c r="A284" s="66" t="s">
        <v>92</v>
      </c>
      <c r="B284" s="66"/>
      <c r="C284" s="67" t="n">
        <f aca="false">SUM(C285,C286)</f>
        <v>258.6</v>
      </c>
      <c r="D284" s="67" t="n">
        <f aca="false">SUM(D285,D286)</f>
        <v>22</v>
      </c>
      <c r="E284" s="67" t="n">
        <f aca="false">SUM(E285,E286)</f>
        <v>2844.6</v>
      </c>
      <c r="F284" s="67" t="n">
        <f aca="false">SUM(F285,F286)</f>
        <v>129.3</v>
      </c>
      <c r="G284" s="78" t="n">
        <f aca="false">SUM(G285:G286)</f>
        <v>0.0718333333333333</v>
      </c>
    </row>
    <row r="285" customFormat="false" ht="14.4" hidden="false" customHeight="false" outlineLevel="0" collapsed="false">
      <c r="A285" s="69" t="s">
        <v>264</v>
      </c>
      <c r="B285" s="70" t="s">
        <v>265</v>
      </c>
      <c r="C285" s="71" t="n">
        <v>148.8</v>
      </c>
      <c r="D285" s="72" t="n">
        <v>11</v>
      </c>
      <c r="E285" s="72" t="n">
        <f aca="false">D285*C285</f>
        <v>1636.8</v>
      </c>
      <c r="F285" s="72" t="n">
        <f aca="false">E285/22</f>
        <v>74.4</v>
      </c>
      <c r="G285" s="73" t="n">
        <f aca="false">F285/1800</f>
        <v>0.0413333333333333</v>
      </c>
    </row>
    <row r="286" customFormat="false" ht="14.4" hidden="false" customHeight="false" outlineLevel="0" collapsed="false">
      <c r="A286" s="69" t="s">
        <v>266</v>
      </c>
      <c r="B286" s="70" t="s">
        <v>267</v>
      </c>
      <c r="C286" s="71" t="n">
        <v>109.8</v>
      </c>
      <c r="D286" s="72" t="n">
        <v>11</v>
      </c>
      <c r="E286" s="72" t="n">
        <f aca="false">D286*C286</f>
        <v>1207.8</v>
      </c>
      <c r="F286" s="72" t="n">
        <f aca="false">E286/22</f>
        <v>54.9</v>
      </c>
      <c r="G286" s="73" t="n">
        <f aca="false">F286/1800</f>
        <v>0.0305</v>
      </c>
    </row>
    <row r="287" customFormat="false" ht="7.5" hidden="false" customHeight="true" outlineLevel="0" collapsed="false">
      <c r="A287" s="74"/>
      <c r="B287" s="75"/>
      <c r="C287" s="76"/>
      <c r="D287" s="60"/>
      <c r="E287" s="60"/>
      <c r="F287" s="60"/>
      <c r="G287" s="77"/>
    </row>
    <row r="288" customFormat="false" ht="14.25" hidden="false" customHeight="true" outlineLevel="0" collapsed="false">
      <c r="A288" s="66" t="s">
        <v>97</v>
      </c>
      <c r="B288" s="66"/>
      <c r="C288" s="67" t="n">
        <f aca="false">C289</f>
        <v>260.62</v>
      </c>
      <c r="D288" s="67" t="n">
        <f aca="false">D289</f>
        <v>11</v>
      </c>
      <c r="E288" s="67" t="n">
        <f aca="false">E289</f>
        <v>2866.82</v>
      </c>
      <c r="F288" s="67" t="n">
        <f aca="false">F289</f>
        <v>130.31</v>
      </c>
      <c r="G288" s="78" t="n">
        <f aca="false">SUM(G289)</f>
        <v>0.0723944444444444</v>
      </c>
    </row>
    <row r="289" customFormat="false" ht="14.4" hidden="false" customHeight="false" outlineLevel="0" collapsed="false">
      <c r="A289" s="69" t="s">
        <v>268</v>
      </c>
      <c r="B289" s="70" t="s">
        <v>269</v>
      </c>
      <c r="C289" s="71" t="n">
        <v>260.62</v>
      </c>
      <c r="D289" s="72" t="n">
        <v>11</v>
      </c>
      <c r="E289" s="72" t="n">
        <f aca="false">D289*C289</f>
        <v>2866.82</v>
      </c>
      <c r="F289" s="72" t="n">
        <f aca="false">E289/22</f>
        <v>130.31</v>
      </c>
      <c r="G289" s="73" t="n">
        <f aca="false">F289/1800</f>
        <v>0.0723944444444444</v>
      </c>
    </row>
    <row r="290" customFormat="false" ht="9" hidden="false" customHeight="true" outlineLevel="0" collapsed="false">
      <c r="A290" s="74"/>
      <c r="B290" s="75"/>
      <c r="C290" s="76"/>
      <c r="D290" s="60"/>
      <c r="E290" s="60"/>
      <c r="F290" s="60"/>
      <c r="G290" s="77"/>
    </row>
    <row r="291" customFormat="false" ht="35.05" hidden="false" customHeight="false" outlineLevel="0" collapsed="false">
      <c r="A291" s="61" t="s">
        <v>270</v>
      </c>
      <c r="B291" s="107" t="s">
        <v>271</v>
      </c>
      <c r="C291" s="104" t="n">
        <f aca="false">SUM(C292,C296,C302,C307,C310)</f>
        <v>65217.07</v>
      </c>
      <c r="D291" s="104" t="n">
        <f aca="false">SUM(D292,D296,D302,D307,D310)</f>
        <v>7.91666666666667</v>
      </c>
      <c r="E291" s="104" t="n">
        <f aca="false">SUM(E292,E296,E302,E307,E310)</f>
        <v>51308.1008333333</v>
      </c>
      <c r="F291" s="104" t="n">
        <f aca="false">ROUND(F292+F296+F302+F307+F310,2)</f>
        <v>2332.19</v>
      </c>
      <c r="G291" s="64" t="n">
        <f aca="false">SUM(G292,G296,G302,G307,G310)</f>
        <v>0.863772741301908</v>
      </c>
    </row>
    <row r="292" customFormat="false" ht="14.25" hidden="false" customHeight="true" outlineLevel="0" collapsed="false">
      <c r="A292" s="66" t="s">
        <v>70</v>
      </c>
      <c r="B292" s="66"/>
      <c r="C292" s="67" t="n">
        <f aca="false">SUM(C293:C295)</f>
        <v>3101.38</v>
      </c>
      <c r="D292" s="67" t="n">
        <f aca="false">SUM(D293:D295)</f>
        <v>0.5</v>
      </c>
      <c r="E292" s="67" t="n">
        <f aca="false">SUM(E293:E295)</f>
        <v>775.345</v>
      </c>
      <c r="F292" s="67" t="n">
        <f aca="false">SUM(F293:F295)</f>
        <v>35.2429545454545</v>
      </c>
      <c r="G292" s="78" t="n">
        <f aca="false">SUM(G293:G294)</f>
        <v>0.0130529461279461</v>
      </c>
    </row>
    <row r="293" customFormat="false" ht="14.4" hidden="false" customHeight="false" outlineLevel="0" collapsed="false">
      <c r="A293" s="69" t="s">
        <v>272</v>
      </c>
      <c r="B293" s="70" t="s">
        <v>273</v>
      </c>
      <c r="C293" s="71" t="n">
        <v>2673.54</v>
      </c>
      <c r="D293" s="72" t="n">
        <v>0.25</v>
      </c>
      <c r="E293" s="72" t="n">
        <f aca="false">D293*C293</f>
        <v>668.385</v>
      </c>
      <c r="F293" s="72" t="n">
        <f aca="false">E293/22</f>
        <v>30.3811363636364</v>
      </c>
      <c r="G293" s="73" t="n">
        <f aca="false">F293/2700</f>
        <v>0.0112522727272727</v>
      </c>
    </row>
    <row r="294" customFormat="false" ht="23.85" hidden="false" customHeight="false" outlineLevel="0" collapsed="false">
      <c r="A294" s="69" t="s">
        <v>274</v>
      </c>
      <c r="B294" s="70" t="s">
        <v>275</v>
      </c>
      <c r="C294" s="71" t="n">
        <v>427.84</v>
      </c>
      <c r="D294" s="72" t="n">
        <v>0.25</v>
      </c>
      <c r="E294" s="72" t="n">
        <f aca="false">D294*C294</f>
        <v>106.96</v>
      </c>
      <c r="F294" s="72" t="n">
        <f aca="false">E294/22</f>
        <v>4.86181818181818</v>
      </c>
      <c r="G294" s="73" t="n">
        <f aca="false">F294/2700</f>
        <v>0.0018006734006734</v>
      </c>
    </row>
    <row r="295" customFormat="false" ht="8.25" hidden="false" customHeight="true" outlineLevel="0" collapsed="false">
      <c r="A295" s="74"/>
      <c r="B295" s="75"/>
      <c r="C295" s="76"/>
      <c r="D295" s="60"/>
      <c r="E295" s="60"/>
      <c r="F295" s="60"/>
      <c r="G295" s="77"/>
    </row>
    <row r="296" customFormat="false" ht="14.25" hidden="false" customHeight="true" outlineLevel="0" collapsed="false">
      <c r="A296" s="66" t="s">
        <v>86</v>
      </c>
      <c r="B296" s="66"/>
      <c r="C296" s="67" t="n">
        <f aca="false">SUM(C297:C301)</f>
        <v>13202.83</v>
      </c>
      <c r="D296" s="67" t="n">
        <f aca="false">SUM(D297:D301)</f>
        <v>4.25</v>
      </c>
      <c r="E296" s="67" t="n">
        <f aca="false">SUM(E297:E301)</f>
        <v>10982.4025</v>
      </c>
      <c r="F296" s="67" t="n">
        <f aca="false">SUM(F297:F301)</f>
        <v>499.200113636364</v>
      </c>
      <c r="G296" s="78" t="n">
        <f aca="false">SUM(G297:G300)</f>
        <v>0.184888930976431</v>
      </c>
    </row>
    <row r="297" customFormat="false" ht="23.85" hidden="false" customHeight="false" outlineLevel="0" collapsed="false">
      <c r="A297" s="69" t="s">
        <v>274</v>
      </c>
      <c r="B297" s="70" t="s">
        <v>276</v>
      </c>
      <c r="C297" s="71" t="n">
        <v>6620.57</v>
      </c>
      <c r="D297" s="72" t="n">
        <v>0.25</v>
      </c>
      <c r="E297" s="72" t="n">
        <f aca="false">D297*C297</f>
        <v>1655.1425</v>
      </c>
      <c r="F297" s="72" t="n">
        <f aca="false">E297/22</f>
        <v>75.23375</v>
      </c>
      <c r="G297" s="73" t="n">
        <f aca="false">F297/2700</f>
        <v>0.0278643518518519</v>
      </c>
    </row>
    <row r="298" customFormat="false" ht="14.4" hidden="false" customHeight="false" outlineLevel="0" collapsed="false">
      <c r="A298" s="69" t="s">
        <v>277</v>
      </c>
      <c r="B298" s="70" t="s">
        <v>278</v>
      </c>
      <c r="C298" s="71" t="n">
        <v>2465.61</v>
      </c>
      <c r="D298" s="72" t="n">
        <v>1</v>
      </c>
      <c r="E298" s="72" t="n">
        <f aca="false">D298*C298</f>
        <v>2465.61</v>
      </c>
      <c r="F298" s="72" t="n">
        <f aca="false">E298/22</f>
        <v>112.073181818182</v>
      </c>
      <c r="G298" s="73" t="n">
        <f aca="false">F298/2700</f>
        <v>0.0415085858585859</v>
      </c>
    </row>
    <row r="299" customFormat="false" ht="14.4" hidden="false" customHeight="false" outlineLevel="0" collapsed="false">
      <c r="A299" s="69" t="s">
        <v>279</v>
      </c>
      <c r="B299" s="70" t="s">
        <v>280</v>
      </c>
      <c r="C299" s="71" t="n">
        <v>2745</v>
      </c>
      <c r="D299" s="72" t="n">
        <v>2</v>
      </c>
      <c r="E299" s="72" t="n">
        <f aca="false">D299*C299</f>
        <v>5490</v>
      </c>
      <c r="F299" s="72" t="n">
        <f aca="false">E299/22</f>
        <v>249.545454545455</v>
      </c>
      <c r="G299" s="73" t="n">
        <f aca="false">F299/2700</f>
        <v>0.0924242424242424</v>
      </c>
    </row>
    <row r="300" customFormat="false" ht="14.4" hidden="false" customHeight="false" outlineLevel="0" collapsed="false">
      <c r="A300" s="69" t="s">
        <v>281</v>
      </c>
      <c r="B300" s="70" t="s">
        <v>282</v>
      </c>
      <c r="C300" s="71" t="n">
        <v>1371.65</v>
      </c>
      <c r="D300" s="72" t="n">
        <v>1</v>
      </c>
      <c r="E300" s="72" t="n">
        <f aca="false">D300*C300</f>
        <v>1371.65</v>
      </c>
      <c r="F300" s="72" t="n">
        <f aca="false">E300/22</f>
        <v>62.3477272727273</v>
      </c>
      <c r="G300" s="73" t="n">
        <f aca="false">F300/2700</f>
        <v>0.0230917508417508</v>
      </c>
    </row>
    <row r="301" customFormat="false" ht="9" hidden="false" customHeight="true" outlineLevel="0" collapsed="false">
      <c r="A301" s="74"/>
      <c r="B301" s="75"/>
      <c r="C301" s="76"/>
      <c r="D301" s="60"/>
      <c r="E301" s="60"/>
      <c r="F301" s="60"/>
      <c r="G301" s="77"/>
    </row>
    <row r="302" customFormat="false" ht="14.25" hidden="false" customHeight="true" outlineLevel="0" collapsed="false">
      <c r="A302" s="66" t="s">
        <v>92</v>
      </c>
      <c r="B302" s="66"/>
      <c r="C302" s="67" t="n">
        <f aca="false">SUM(C303:C305)</f>
        <v>20293.7</v>
      </c>
      <c r="D302" s="67" t="n">
        <f aca="false">SUM(D303:D305)</f>
        <v>1.41666666666667</v>
      </c>
      <c r="E302" s="67" t="n">
        <f aca="false">SUM(E303:E305)</f>
        <v>17048.2533333333</v>
      </c>
      <c r="F302" s="67" t="n">
        <f aca="false">SUM(F303:F305)</f>
        <v>774.920606060606</v>
      </c>
      <c r="G302" s="78" t="n">
        <f aca="false">SUM(G303:G305)</f>
        <v>0.287007631874298</v>
      </c>
    </row>
    <row r="303" customFormat="false" ht="35.05" hidden="false" customHeight="false" outlineLevel="0" collapsed="false">
      <c r="A303" s="69" t="s">
        <v>283</v>
      </c>
      <c r="B303" s="70" t="s">
        <v>284</v>
      </c>
      <c r="C303" s="71" t="n">
        <f aca="false">99.6+474.05+553.23+267.6+490.4+117.2+820.84+5040.28+8445.03</f>
        <v>16308.23</v>
      </c>
      <c r="D303" s="72" t="n">
        <v>1</v>
      </c>
      <c r="E303" s="72" t="n">
        <f aca="false">D303*C303</f>
        <v>16308.23</v>
      </c>
      <c r="F303" s="72" t="n">
        <f aca="false">E303/22</f>
        <v>741.283181818182</v>
      </c>
      <c r="G303" s="73" t="n">
        <f aca="false">F303/2700</f>
        <v>0.274549326599327</v>
      </c>
    </row>
    <row r="304" customFormat="false" ht="23.85" hidden="false" customHeight="false" outlineLevel="0" collapsed="false">
      <c r="A304" s="69" t="s">
        <v>285</v>
      </c>
      <c r="B304" s="70" t="s">
        <v>286</v>
      </c>
      <c r="C304" s="71" t="n">
        <v>909.34</v>
      </c>
      <c r="D304" s="72" t="n">
        <v>0.25</v>
      </c>
      <c r="E304" s="72" t="n">
        <f aca="false">D304*C304</f>
        <v>227.335</v>
      </c>
      <c r="F304" s="72" t="n">
        <f aca="false">E304/22</f>
        <v>10.3334090909091</v>
      </c>
      <c r="G304" s="73" t="n">
        <f aca="false">F304/2700</f>
        <v>0.00382718855218855</v>
      </c>
    </row>
    <row r="305" customFormat="false" ht="14.4" hidden="false" customHeight="false" outlineLevel="0" collapsed="false">
      <c r="A305" s="69" t="s">
        <v>287</v>
      </c>
      <c r="B305" s="70" t="s">
        <v>288</v>
      </c>
      <c r="C305" s="71" t="n">
        <v>3076.13</v>
      </c>
      <c r="D305" s="72" t="n">
        <f aca="false">1/6</f>
        <v>0.166666666666667</v>
      </c>
      <c r="E305" s="72" t="n">
        <f aca="false">D305*C305</f>
        <v>512.688333333333</v>
      </c>
      <c r="F305" s="72" t="n">
        <f aca="false">E305/22</f>
        <v>23.3040151515151</v>
      </c>
      <c r="G305" s="73" t="n">
        <f aca="false">F305/2700</f>
        <v>0.00863111672278339</v>
      </c>
    </row>
    <row r="306" customFormat="false" ht="8.25" hidden="false" customHeight="true" outlineLevel="0" collapsed="false">
      <c r="A306" s="79"/>
      <c r="B306" s="75"/>
      <c r="C306" s="76"/>
      <c r="D306" s="60"/>
      <c r="E306" s="60"/>
      <c r="F306" s="60"/>
      <c r="G306" s="77"/>
    </row>
    <row r="307" customFormat="false" ht="14.25" hidden="false" customHeight="true" outlineLevel="0" collapsed="false">
      <c r="A307" s="66" t="s">
        <v>97</v>
      </c>
      <c r="B307" s="66"/>
      <c r="C307" s="67" t="n">
        <f aca="false">SUM(C308)</f>
        <v>20463.08</v>
      </c>
      <c r="D307" s="67" t="n">
        <f aca="false">SUM(D308)</f>
        <v>1</v>
      </c>
      <c r="E307" s="67" t="n">
        <f aca="false">SUM(E308)</f>
        <v>20463.08</v>
      </c>
      <c r="F307" s="67" t="n">
        <f aca="false">SUM(F308)</f>
        <v>930.14</v>
      </c>
      <c r="G307" s="78" t="n">
        <f aca="false">SUM(G308)</f>
        <v>0.344496296296296</v>
      </c>
    </row>
    <row r="308" customFormat="false" ht="23.85" hidden="false" customHeight="false" outlineLevel="0" collapsed="false">
      <c r="A308" s="69" t="s">
        <v>289</v>
      </c>
      <c r="B308" s="70" t="s">
        <v>290</v>
      </c>
      <c r="C308" s="71" t="n">
        <v>20463.08</v>
      </c>
      <c r="D308" s="72" t="n">
        <v>1</v>
      </c>
      <c r="E308" s="72" t="n">
        <f aca="false">D308*C308</f>
        <v>20463.08</v>
      </c>
      <c r="F308" s="72" t="n">
        <f aca="false">E308/22</f>
        <v>930.14</v>
      </c>
      <c r="G308" s="73" t="n">
        <f aca="false">F308/2700</f>
        <v>0.344496296296296</v>
      </c>
    </row>
    <row r="309" customFormat="false" ht="9.75" hidden="false" customHeight="true" outlineLevel="0" collapsed="false">
      <c r="A309" s="74"/>
      <c r="B309" s="75"/>
      <c r="C309" s="76"/>
      <c r="D309" s="60"/>
      <c r="E309" s="60"/>
      <c r="F309" s="60"/>
      <c r="G309" s="77"/>
    </row>
    <row r="310" customFormat="false" ht="14.25" hidden="false" customHeight="true" outlineLevel="0" collapsed="false">
      <c r="A310" s="66" t="s">
        <v>100</v>
      </c>
      <c r="B310" s="66"/>
      <c r="C310" s="67" t="n">
        <f aca="false">SUM(C311:C314)</f>
        <v>8156.08</v>
      </c>
      <c r="D310" s="67" t="n">
        <f aca="false">SUM(D311:D314)</f>
        <v>0.75</v>
      </c>
      <c r="E310" s="67" t="n">
        <f aca="false">SUM(E311:E314)</f>
        <v>2039.02</v>
      </c>
      <c r="F310" s="67" t="n">
        <f aca="false">SUM(F311:F314)</f>
        <v>92.6827272727273</v>
      </c>
      <c r="G310" s="78" t="n">
        <f aca="false">SUM(G311:G313)</f>
        <v>0.034326936026936</v>
      </c>
    </row>
    <row r="311" customFormat="false" ht="35.05" hidden="false" customHeight="false" outlineLevel="0" collapsed="false">
      <c r="A311" s="69" t="s">
        <v>291</v>
      </c>
      <c r="B311" s="70" t="s">
        <v>292</v>
      </c>
      <c r="C311" s="71" t="n">
        <v>5192.56</v>
      </c>
      <c r="D311" s="72" t="n">
        <v>0.25</v>
      </c>
      <c r="E311" s="72" t="n">
        <f aca="false">D311*C311</f>
        <v>1298.14</v>
      </c>
      <c r="F311" s="72" t="n">
        <f aca="false">E311/22</f>
        <v>59.0063636363636</v>
      </c>
      <c r="G311" s="73" t="n">
        <f aca="false">F311/2700</f>
        <v>0.0218542087542088</v>
      </c>
    </row>
    <row r="312" customFormat="false" ht="14.4" hidden="false" customHeight="false" outlineLevel="0" collapsed="false">
      <c r="A312" s="69" t="s">
        <v>293</v>
      </c>
      <c r="B312" s="70" t="s">
        <v>294</v>
      </c>
      <c r="C312" s="71" t="n">
        <v>381.72</v>
      </c>
      <c r="D312" s="72" t="n">
        <v>0.25</v>
      </c>
      <c r="E312" s="72" t="n">
        <f aca="false">D312*C312</f>
        <v>95.43</v>
      </c>
      <c r="F312" s="72" t="n">
        <f aca="false">E312/22</f>
        <v>4.33772727272727</v>
      </c>
      <c r="G312" s="73" t="n">
        <f aca="false">F312/2700</f>
        <v>0.00160656565656566</v>
      </c>
    </row>
    <row r="313" customFormat="false" ht="14.4" hidden="false" customHeight="false" outlineLevel="0" collapsed="false">
      <c r="A313" s="108" t="s">
        <v>295</v>
      </c>
      <c r="B313" s="70" t="s">
        <v>296</v>
      </c>
      <c r="C313" s="71" t="n">
        <v>2581.8</v>
      </c>
      <c r="D313" s="72" t="n">
        <v>0.25</v>
      </c>
      <c r="E313" s="72" t="n">
        <f aca="false">D313*C313</f>
        <v>645.45</v>
      </c>
      <c r="F313" s="72" t="n">
        <f aca="false">E313/22</f>
        <v>29.3386363636364</v>
      </c>
      <c r="G313" s="73" t="n">
        <f aca="false">F313/2700</f>
        <v>0.0108661616161616</v>
      </c>
    </row>
    <row r="314" customFormat="false" ht="7.5" hidden="false" customHeight="true" outlineLevel="0" collapsed="false">
      <c r="A314" s="74"/>
      <c r="B314" s="75"/>
      <c r="C314" s="76"/>
      <c r="D314" s="60"/>
      <c r="E314" s="60"/>
      <c r="F314" s="60"/>
      <c r="G314" s="77"/>
    </row>
    <row r="315" customFormat="false" ht="46.25" hidden="false" customHeight="false" outlineLevel="0" collapsed="false">
      <c r="A315" s="109" t="s">
        <v>297</v>
      </c>
      <c r="B315" s="110" t="s">
        <v>298</v>
      </c>
      <c r="C315" s="104" t="n">
        <f aca="false">SUM(C316)</f>
        <v>7601</v>
      </c>
      <c r="D315" s="104" t="n">
        <f aca="false">SUM(D316)</f>
        <v>22</v>
      </c>
      <c r="E315" s="104" t="n">
        <f aca="false">SUM(E316)</f>
        <v>167222</v>
      </c>
      <c r="F315" s="104" t="n">
        <f aca="false">ROUND(F316,2)</f>
        <v>7601</v>
      </c>
      <c r="G315" s="64" t="n">
        <f aca="false">SUM(G316)</f>
        <v>0.07601</v>
      </c>
    </row>
    <row r="316" customFormat="false" ht="14.25" hidden="false" customHeight="true" outlineLevel="0" collapsed="false">
      <c r="A316" s="66" t="s">
        <v>100</v>
      </c>
      <c r="B316" s="66"/>
      <c r="C316" s="67" t="n">
        <f aca="false">SUM(C317:C318)</f>
        <v>7601</v>
      </c>
      <c r="D316" s="67" t="n">
        <f aca="false">SUM(D317:D318)</f>
        <v>22</v>
      </c>
      <c r="E316" s="67" t="n">
        <f aca="false">SUM(E317:E318)</f>
        <v>167222</v>
      </c>
      <c r="F316" s="67" t="n">
        <f aca="false">SUM(F317:F318)</f>
        <v>7601</v>
      </c>
      <c r="G316" s="78" t="n">
        <f aca="false">SUM(G317)</f>
        <v>0.07601</v>
      </c>
    </row>
    <row r="317" customFormat="false" ht="14.4" hidden="false" customHeight="false" outlineLevel="0" collapsed="false">
      <c r="A317" s="69" t="s">
        <v>299</v>
      </c>
      <c r="B317" s="70" t="s">
        <v>300</v>
      </c>
      <c r="C317" s="71" t="n">
        <v>7601</v>
      </c>
      <c r="D317" s="72" t="n">
        <v>22</v>
      </c>
      <c r="E317" s="72" t="n">
        <f aca="false">D317*C317</f>
        <v>167222</v>
      </c>
      <c r="F317" s="72" t="n">
        <f aca="false">E317/22</f>
        <v>7601</v>
      </c>
      <c r="G317" s="73" t="n">
        <f aca="false">F317/100000</f>
        <v>0.07601</v>
      </c>
    </row>
    <row r="318" customFormat="false" ht="7.5" hidden="false" customHeight="true" outlineLevel="0" collapsed="false">
      <c r="A318" s="111"/>
      <c r="B318" s="112"/>
      <c r="C318" s="113"/>
      <c r="D318" s="114" t="s">
        <v>301</v>
      </c>
      <c r="E318" s="114"/>
      <c r="F318" s="114"/>
      <c r="G318" s="115"/>
      <c r="J318" s="100"/>
    </row>
    <row r="319" customFormat="false" ht="14.4" hidden="false" customHeight="false" outlineLevel="0" collapsed="false">
      <c r="A319" s="116" t="n">
        <f aca="false">SUM(C239,C115)</f>
        <v>124661.29</v>
      </c>
      <c r="B319" s="116"/>
      <c r="C319" s="116"/>
      <c r="D319" s="116"/>
      <c r="E319" s="116"/>
      <c r="F319" s="116"/>
      <c r="G319" s="117" t="n">
        <f aca="false">SUM(G239,G115)</f>
        <v>38</v>
      </c>
      <c r="J319" s="100"/>
    </row>
    <row r="320" customFormat="false" ht="15" hidden="false" customHeight="true" outlineLevel="0" collapsed="false">
      <c r="A320" s="118" t="s">
        <v>302</v>
      </c>
      <c r="B320" s="118"/>
      <c r="C320" s="118"/>
      <c r="D320" s="118"/>
      <c r="E320" s="118"/>
      <c r="F320" s="118"/>
      <c r="G320" s="119" t="n">
        <f aca="false">G319</f>
        <v>38</v>
      </c>
      <c r="J320" s="100"/>
    </row>
    <row r="321" customFormat="false" ht="14.25" hidden="false" customHeight="true" outlineLevel="0" collapsed="false">
      <c r="A321" s="120" t="s">
        <v>303</v>
      </c>
      <c r="B321" s="120"/>
      <c r="C321" s="120"/>
      <c r="D321" s="120"/>
      <c r="E321" s="120"/>
      <c r="F321" s="120"/>
      <c r="G321" s="121" t="n">
        <f aca="false">ROUNDDOWN(G320/30,0)</f>
        <v>1</v>
      </c>
      <c r="J321" s="100"/>
    </row>
    <row r="322" customFormat="false" ht="15" hidden="false" customHeight="true" outlineLevel="0" collapsed="false">
      <c r="A322" s="55"/>
      <c r="B322" s="55"/>
    </row>
    <row r="327" customFormat="false" ht="14.25" hidden="false" customHeight="true" outlineLevel="0" collapsed="false">
      <c r="B327" s="122" t="s">
        <v>304</v>
      </c>
      <c r="C327" s="122"/>
      <c r="F327" s="100"/>
    </row>
    <row r="328" customFormat="false" ht="15" hidden="false" customHeight="true" outlineLevel="0" collapsed="false"/>
    <row r="329" customFormat="false" ht="14.25" hidden="false" customHeight="true" outlineLevel="0" collapsed="false">
      <c r="B329" s="123" t="s">
        <v>305</v>
      </c>
      <c r="C329" s="123"/>
      <c r="D329" s="123"/>
      <c r="E329" s="123"/>
      <c r="F329" s="123"/>
    </row>
    <row r="330" customFormat="false" ht="14.25" hidden="false" customHeight="true" outlineLevel="0" collapsed="false">
      <c r="B330" s="123"/>
      <c r="C330" s="123"/>
      <c r="D330" s="123"/>
      <c r="E330" s="123"/>
      <c r="F330" s="123"/>
    </row>
    <row r="331" customFormat="false" ht="14.4" hidden="false" customHeight="false" outlineLevel="0" collapsed="false">
      <c r="B331" s="123"/>
      <c r="C331" s="123"/>
      <c r="D331" s="123"/>
      <c r="E331" s="123"/>
      <c r="F331" s="123"/>
    </row>
    <row r="332" customFormat="false" ht="14.4" hidden="false" customHeight="false" outlineLevel="0" collapsed="false">
      <c r="B332" s="124"/>
      <c r="C332" s="124"/>
      <c r="D332" s="124"/>
      <c r="E332" s="124"/>
      <c r="F332" s="124"/>
    </row>
    <row r="333" customFormat="false" ht="14.25" hidden="false" customHeight="true" outlineLevel="0" collapsed="false">
      <c r="B333" s="123" t="s">
        <v>306</v>
      </c>
      <c r="C333" s="123"/>
      <c r="D333" s="123"/>
      <c r="E333" s="123"/>
      <c r="F333" s="123"/>
    </row>
    <row r="334" customFormat="false" ht="14.4" hidden="false" customHeight="false" outlineLevel="0" collapsed="false">
      <c r="B334" s="123"/>
      <c r="C334" s="123"/>
      <c r="D334" s="123"/>
      <c r="E334" s="123"/>
      <c r="F334" s="123"/>
    </row>
    <row r="335" customFormat="false" ht="14.25" hidden="false" customHeight="true" outlineLevel="0" collapsed="false">
      <c r="B335" s="123"/>
      <c r="C335" s="123"/>
      <c r="D335" s="123"/>
      <c r="E335" s="123"/>
      <c r="F335" s="123"/>
    </row>
    <row r="336" customFormat="false" ht="14.4" hidden="false" customHeight="false" outlineLevel="0" collapsed="false">
      <c r="B336" s="124"/>
      <c r="C336" s="124"/>
      <c r="D336" s="124"/>
      <c r="E336" s="124"/>
      <c r="F336" s="124"/>
    </row>
    <row r="337" customFormat="false" ht="14.25" hidden="false" customHeight="true" outlineLevel="0" collapsed="false">
      <c r="B337" s="125" t="s">
        <v>307</v>
      </c>
      <c r="C337" s="125"/>
      <c r="D337" s="125"/>
      <c r="E337" s="125"/>
      <c r="F337" s="125"/>
    </row>
    <row r="339" customFormat="false" ht="60" hidden="false" customHeight="true" outlineLevel="0" collapsed="false">
      <c r="B339" s="126" t="s">
        <v>308</v>
      </c>
      <c r="C339" s="126"/>
      <c r="D339" s="126"/>
      <c r="E339" s="126"/>
      <c r="F339" s="126"/>
    </row>
    <row r="340" customFormat="false" ht="13.5" hidden="false" customHeight="true" outlineLevel="0" collapsed="false"/>
    <row r="341" customFormat="false" ht="14.25" hidden="false" customHeight="true" outlineLevel="0" collapsed="false">
      <c r="B341" s="126" t="s">
        <v>309</v>
      </c>
      <c r="C341" s="126"/>
      <c r="D341" s="126"/>
      <c r="E341" s="126"/>
      <c r="F341" s="126"/>
    </row>
    <row r="342" customFormat="false" ht="14.25" hidden="false" customHeight="true" outlineLevel="0" collapsed="false">
      <c r="B342" s="126"/>
      <c r="C342" s="126"/>
      <c r="D342" s="126"/>
      <c r="E342" s="126"/>
      <c r="F342" s="126"/>
    </row>
    <row r="343" customFormat="false" ht="14.4" hidden="false" customHeight="false" outlineLevel="0" collapsed="false">
      <c r="B343" s="126"/>
      <c r="C343" s="126"/>
      <c r="D343" s="126"/>
      <c r="E343" s="126"/>
      <c r="F343" s="126"/>
    </row>
    <row r="344" customFormat="false" ht="36.75" hidden="false" customHeight="true" outlineLevel="0" collapsed="false">
      <c r="B344" s="126"/>
      <c r="C344" s="126"/>
      <c r="D344" s="126"/>
      <c r="E344" s="126"/>
      <c r="F344" s="126"/>
    </row>
    <row r="345" customFormat="false" ht="14.25" hidden="false" customHeight="true" outlineLevel="0" collapsed="false">
      <c r="B345" s="127"/>
      <c r="C345" s="127"/>
      <c r="D345" s="127"/>
      <c r="E345" s="127"/>
      <c r="F345" s="127"/>
    </row>
    <row r="346" customFormat="false" ht="14.25" hidden="false" customHeight="true" outlineLevel="0" collapsed="false">
      <c r="B346" s="126" t="s">
        <v>310</v>
      </c>
      <c r="C346" s="126"/>
      <c r="D346" s="126"/>
      <c r="E346" s="126"/>
      <c r="F346" s="126"/>
    </row>
    <row r="347" customFormat="false" ht="14.25" hidden="false" customHeight="true" outlineLevel="0" collapsed="false">
      <c r="B347" s="126"/>
      <c r="C347" s="126"/>
      <c r="D347" s="126"/>
      <c r="E347" s="126"/>
      <c r="F347" s="126"/>
    </row>
    <row r="348" customFormat="false" ht="14.25" hidden="false" customHeight="true" outlineLevel="0" collapsed="false">
      <c r="B348" s="126"/>
      <c r="C348" s="126"/>
      <c r="D348" s="126"/>
      <c r="E348" s="126"/>
      <c r="F348" s="126"/>
    </row>
    <row r="349" customFormat="false" ht="14.25" hidden="false" customHeight="true" outlineLevel="0" collapsed="false">
      <c r="B349" s="126"/>
      <c r="C349" s="126"/>
      <c r="D349" s="126"/>
      <c r="E349" s="126"/>
      <c r="F349" s="126"/>
    </row>
    <row r="350" customFormat="false" ht="14.25" hidden="false" customHeight="true" outlineLevel="0" collapsed="false">
      <c r="B350" s="127"/>
      <c r="C350" s="127"/>
      <c r="D350" s="127"/>
      <c r="E350" s="127"/>
      <c r="F350" s="127"/>
    </row>
    <row r="351" customFormat="false" ht="23.25" hidden="false" customHeight="true" outlineLevel="0" collapsed="false">
      <c r="B351" s="128" t="s">
        <v>311</v>
      </c>
      <c r="C351" s="128"/>
      <c r="D351" s="128"/>
      <c r="E351" s="128"/>
      <c r="F351" s="128"/>
    </row>
    <row r="352" customFormat="false" ht="30" hidden="false" customHeight="true" outlineLevel="0" collapsed="false">
      <c r="B352" s="128"/>
      <c r="C352" s="128"/>
      <c r="D352" s="128"/>
      <c r="E352" s="128"/>
      <c r="F352" s="128"/>
    </row>
    <row r="353" customFormat="false" ht="14.4" hidden="false" customHeight="false" outlineLevel="0" collapsed="false">
      <c r="B353" s="128"/>
      <c r="C353" s="128"/>
      <c r="D353" s="128"/>
      <c r="E353" s="128"/>
      <c r="F353" s="128"/>
    </row>
    <row r="354" customFormat="false" ht="13.8" hidden="false" customHeight="false" outlineLevel="0" collapsed="false"/>
  </sheetData>
  <mergeCells count="168">
    <mergeCell ref="A2:F2"/>
    <mergeCell ref="A4:B4"/>
    <mergeCell ref="C7:D7"/>
    <mergeCell ref="B8:B9"/>
    <mergeCell ref="C8:D8"/>
    <mergeCell ref="E8:E9"/>
    <mergeCell ref="F8:F9"/>
    <mergeCell ref="C9:D9"/>
    <mergeCell ref="C13:D13"/>
    <mergeCell ref="B14:B15"/>
    <mergeCell ref="C14:D14"/>
    <mergeCell ref="E14:E15"/>
    <mergeCell ref="F14:F15"/>
    <mergeCell ref="C15:D15"/>
    <mergeCell ref="C19:D19"/>
    <mergeCell ref="B20:B21"/>
    <mergeCell ref="C20:D20"/>
    <mergeCell ref="E20:E21"/>
    <mergeCell ref="F20:F21"/>
    <mergeCell ref="C21:D21"/>
    <mergeCell ref="C25:D25"/>
    <mergeCell ref="B26:B27"/>
    <mergeCell ref="C26:D26"/>
    <mergeCell ref="E26:E27"/>
    <mergeCell ref="F26:F27"/>
    <mergeCell ref="C27:D27"/>
    <mergeCell ref="C31:D31"/>
    <mergeCell ref="B32:B33"/>
    <mergeCell ref="C32:D32"/>
    <mergeCell ref="E32:E33"/>
    <mergeCell ref="F32:F33"/>
    <mergeCell ref="C33:D33"/>
    <mergeCell ref="C37:D37"/>
    <mergeCell ref="B38:B39"/>
    <mergeCell ref="C38:D38"/>
    <mergeCell ref="E38:E39"/>
    <mergeCell ref="F38:F39"/>
    <mergeCell ref="C39:D39"/>
    <mergeCell ref="C43:D43"/>
    <mergeCell ref="B44:B45"/>
    <mergeCell ref="C44:D44"/>
    <mergeCell ref="E44:E45"/>
    <mergeCell ref="F44:F45"/>
    <mergeCell ref="C45:D45"/>
    <mergeCell ref="C49:D49"/>
    <mergeCell ref="B50:B51"/>
    <mergeCell ref="C50:D50"/>
    <mergeCell ref="E50:E51"/>
    <mergeCell ref="F50:F51"/>
    <mergeCell ref="C51:D51"/>
    <mergeCell ref="C55:D55"/>
    <mergeCell ref="B56:B57"/>
    <mergeCell ref="C56:D56"/>
    <mergeCell ref="E56:E57"/>
    <mergeCell ref="F56:F57"/>
    <mergeCell ref="C57:D57"/>
    <mergeCell ref="C61:D61"/>
    <mergeCell ref="B62:B63"/>
    <mergeCell ref="C62:D62"/>
    <mergeCell ref="E62:E63"/>
    <mergeCell ref="F62:F63"/>
    <mergeCell ref="C63:D63"/>
    <mergeCell ref="C67:D67"/>
    <mergeCell ref="B68:B69"/>
    <mergeCell ref="C68:D68"/>
    <mergeCell ref="E68:E69"/>
    <mergeCell ref="F68:F69"/>
    <mergeCell ref="C69:D69"/>
    <mergeCell ref="A73:B73"/>
    <mergeCell ref="C75:D75"/>
    <mergeCell ref="B76:B77"/>
    <mergeCell ref="C76:D76"/>
    <mergeCell ref="C77:D77"/>
    <mergeCell ref="C78:D78"/>
    <mergeCell ref="B79:B80"/>
    <mergeCell ref="C79:D79"/>
    <mergeCell ref="C80:D80"/>
    <mergeCell ref="C81:D81"/>
    <mergeCell ref="B82:B83"/>
    <mergeCell ref="C82:D82"/>
    <mergeCell ref="C83:D83"/>
    <mergeCell ref="C84:D84"/>
    <mergeCell ref="B85:B86"/>
    <mergeCell ref="C85:D85"/>
    <mergeCell ref="C86:D86"/>
    <mergeCell ref="C87:D87"/>
    <mergeCell ref="B88:B89"/>
    <mergeCell ref="C88:D88"/>
    <mergeCell ref="C89:D89"/>
    <mergeCell ref="C90:D90"/>
    <mergeCell ref="B91:B92"/>
    <mergeCell ref="C91:D91"/>
    <mergeCell ref="C92:D92"/>
    <mergeCell ref="C93:D93"/>
    <mergeCell ref="B94:B95"/>
    <mergeCell ref="C94:D94"/>
    <mergeCell ref="C95:D95"/>
    <mergeCell ref="C96:D96"/>
    <mergeCell ref="B97:B98"/>
    <mergeCell ref="C97:D97"/>
    <mergeCell ref="C98:D98"/>
    <mergeCell ref="C99:D99"/>
    <mergeCell ref="B100:B101"/>
    <mergeCell ref="C100:D100"/>
    <mergeCell ref="C101:D101"/>
    <mergeCell ref="C102:D102"/>
    <mergeCell ref="B103:B104"/>
    <mergeCell ref="C103:D103"/>
    <mergeCell ref="C104:D104"/>
    <mergeCell ref="C105:D105"/>
    <mergeCell ref="B106:B107"/>
    <mergeCell ref="C106:D106"/>
    <mergeCell ref="C107:D107"/>
    <mergeCell ref="C108:F108"/>
    <mergeCell ref="B109:B110"/>
    <mergeCell ref="C109:F109"/>
    <mergeCell ref="C110:F110"/>
    <mergeCell ref="A112:G112"/>
    <mergeCell ref="A117:B117"/>
    <mergeCell ref="A128:B128"/>
    <mergeCell ref="A133:B133"/>
    <mergeCell ref="A137:B137"/>
    <mergeCell ref="A140:B140"/>
    <mergeCell ref="A154:B154"/>
    <mergeCell ref="A158:B158"/>
    <mergeCell ref="A163:B163"/>
    <mergeCell ref="A169:B169"/>
    <mergeCell ref="A173:B173"/>
    <mergeCell ref="A177:B177"/>
    <mergeCell ref="A180:B180"/>
    <mergeCell ref="A185:B185"/>
    <mergeCell ref="A192:B192"/>
    <mergeCell ref="A197:B197"/>
    <mergeCell ref="A204:B204"/>
    <mergeCell ref="A208:B208"/>
    <mergeCell ref="A213:B213"/>
    <mergeCell ref="A220:B220"/>
    <mergeCell ref="A224:B224"/>
    <mergeCell ref="A230:B230"/>
    <mergeCell ref="A234:B234"/>
    <mergeCell ref="A241:B241"/>
    <mergeCell ref="A246:B246"/>
    <mergeCell ref="A249:B249"/>
    <mergeCell ref="A257:B257"/>
    <mergeCell ref="A260:B260"/>
    <mergeCell ref="A266:B266"/>
    <mergeCell ref="A272:B272"/>
    <mergeCell ref="A276:B276"/>
    <mergeCell ref="A281:B281"/>
    <mergeCell ref="A284:B284"/>
    <mergeCell ref="A288:B288"/>
    <mergeCell ref="A292:B292"/>
    <mergeCell ref="A296:B296"/>
    <mergeCell ref="A302:B302"/>
    <mergeCell ref="A307:B307"/>
    <mergeCell ref="A310:B310"/>
    <mergeCell ref="A316:B316"/>
    <mergeCell ref="A319:F319"/>
    <mergeCell ref="A320:F320"/>
    <mergeCell ref="A321:F321"/>
    <mergeCell ref="B327:C327"/>
    <mergeCell ref="B329:F331"/>
    <mergeCell ref="B333:F335"/>
    <mergeCell ref="B337:F337"/>
    <mergeCell ref="B339:F339"/>
    <mergeCell ref="B341:F344"/>
    <mergeCell ref="B346:F349"/>
    <mergeCell ref="B351:F35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00"/>
  <sheetViews>
    <sheetView showFormulas="false" showGridLines="true" showRowColHeaders="true" showZeros="true" rightToLeft="false" tabSelected="false" showOutlineSymbols="true" defaultGridColor="true" view="pageBreakPreview" topLeftCell="A1" colorId="64" zoomScale="80" zoomScaleNormal="100" zoomScalePageLayoutView="80" workbookViewId="0">
      <selection pane="topLeft" activeCell="I26" activeCellId="0" sqref="I26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9"/>
    <col collapsed="false" customWidth="false" hidden="false" outlineLevel="0" max="3" min="3" style="1" width="8.67"/>
    <col collapsed="false" customWidth="true" hidden="false" outlineLevel="0" max="4" min="4" style="1" width="10.33"/>
    <col collapsed="false" customWidth="false" hidden="false" outlineLevel="0" max="5" min="5" style="1" width="8.67"/>
    <col collapsed="false" customWidth="true" hidden="false" outlineLevel="0" max="6" min="6" style="1" width="17.11"/>
    <col collapsed="false" customWidth="true" hidden="false" outlineLevel="0" max="7" min="7" style="1" width="24.44"/>
    <col collapsed="false" customWidth="true" hidden="false" outlineLevel="0" max="8" min="8" style="1" width="16.11"/>
    <col collapsed="false" customWidth="true" hidden="false" outlineLevel="0" max="9" min="9" style="1" width="30.66"/>
    <col collapsed="false" customWidth="true" hidden="false" outlineLevel="0" max="1025" min="10" style="1" width="14.43"/>
  </cols>
  <sheetData>
    <row r="1" customFormat="false" ht="14.4" hidden="false" customHeight="false" outlineLevel="0" collapsed="false">
      <c r="A1" s="129" t="s">
        <v>312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30"/>
      <c r="B2" s="130"/>
      <c r="C2" s="130"/>
      <c r="D2" s="130"/>
      <c r="E2" s="130"/>
      <c r="F2" s="130"/>
      <c r="G2" s="130"/>
      <c r="H2" s="130"/>
      <c r="I2" s="130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4.4" hidden="false" customHeight="fals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331</v>
      </c>
      <c r="D13" s="137"/>
      <c r="E13" s="131" t="n">
        <v>1</v>
      </c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</row>
    <row r="15" customFormat="false" ht="23.8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334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336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39" t="n">
        <v>1879.18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1879.18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/>
      <c r="I25" s="144" t="n">
        <v>0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1879.18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156.54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227.38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383.92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1879.18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383.92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2263.1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452.62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56.58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135.79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33.95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22.63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13.58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4.53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181.05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900.73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8.14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448.91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383.92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900.73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448.91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1733.56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1879.18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1733.56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3612.74</v>
      </c>
    </row>
    <row r="66" customFormat="false" ht="15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57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15.17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1.08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66.84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26.73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144.51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254.33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1879.18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1733.56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254.33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3867.07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35.96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21.66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1.16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12.76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2.71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74.25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74.25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74.25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v>0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v>0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UNIFORMES!G21</f>
        <v>44.49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v>0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44.49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1879.18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1733.56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254.33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74.25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44.49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3985.81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199.29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418.51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88.58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408.02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268.43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1382.83</v>
      </c>
    </row>
    <row r="120" customFormat="false" ht="15.75" hidden="false" customHeight="true" outlineLevel="0" collapsed="false">
      <c r="A120" s="135"/>
      <c r="B120" s="135"/>
      <c r="C120" s="135"/>
      <c r="D120" s="135"/>
      <c r="E120" s="135"/>
      <c r="F120" s="135"/>
      <c r="G120" s="135"/>
      <c r="H120" s="135"/>
      <c r="I120" s="135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4603.61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5368.64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765.030000000001</v>
      </c>
    </row>
    <row r="129" customFormat="false" ht="15.75" hidden="false" customHeight="true" outlineLevel="0" collapsed="false">
      <c r="A129" s="132" t="s">
        <v>448</v>
      </c>
      <c r="B129" s="132"/>
      <c r="C129" s="132"/>
      <c r="D129" s="132"/>
      <c r="E129" s="132"/>
      <c r="F129" s="132"/>
      <c r="G129" s="132"/>
      <c r="H129" s="132"/>
      <c r="I129" s="132"/>
    </row>
    <row r="130" customFormat="false" ht="15.75" hidden="false" customHeight="true" outlineLevel="0" collapsed="false">
      <c r="A130" s="132" t="s">
        <v>449</v>
      </c>
      <c r="B130" s="132"/>
      <c r="C130" s="132"/>
      <c r="D130" s="132"/>
      <c r="E130" s="132"/>
      <c r="F130" s="132"/>
      <c r="G130" s="132"/>
      <c r="H130" s="132"/>
      <c r="I130" s="132" t="s">
        <v>345</v>
      </c>
    </row>
    <row r="131" customFormat="false" ht="15.75" hidden="false" customHeight="true" outlineLevel="0" collapsed="false">
      <c r="A131" s="131" t="s">
        <v>316</v>
      </c>
      <c r="B131" s="133" t="str">
        <f aca="false">A21</f>
        <v>MÓDULO 1 - COMPOSIÇÃO DA REMUNERAÇÃO</v>
      </c>
      <c r="C131" s="133"/>
      <c r="D131" s="133"/>
      <c r="E131" s="133"/>
      <c r="F131" s="133"/>
      <c r="G131" s="133"/>
      <c r="H131" s="133"/>
      <c r="I131" s="147" t="n">
        <f aca="false">I29</f>
        <v>1879.18</v>
      </c>
    </row>
    <row r="132" customFormat="false" ht="15.75" hidden="false" customHeight="true" outlineLevel="0" collapsed="false">
      <c r="A132" s="131" t="s">
        <v>318</v>
      </c>
      <c r="B132" s="133" t="str">
        <f aca="false">A31</f>
        <v>MÓDULO 2 – ENCARGOS E BENEFÍCIOS ANUAIS, MENSAIS E DIÁRIOS</v>
      </c>
      <c r="C132" s="133"/>
      <c r="D132" s="133"/>
      <c r="E132" s="133"/>
      <c r="F132" s="133"/>
      <c r="G132" s="133"/>
      <c r="H132" s="133"/>
      <c r="I132" s="147" t="n">
        <f aca="false">I62</f>
        <v>1733.56</v>
      </c>
    </row>
    <row r="133" customFormat="false" ht="15.75" hidden="false" customHeight="true" outlineLevel="0" collapsed="false">
      <c r="A133" s="131" t="s">
        <v>321</v>
      </c>
      <c r="B133" s="133" t="str">
        <f aca="false">A66</f>
        <v>MÓDULO 3 – PROVISÃO PARA RESCISÃO</v>
      </c>
      <c r="C133" s="133"/>
      <c r="D133" s="133"/>
      <c r="E133" s="133"/>
      <c r="F133" s="133"/>
      <c r="G133" s="133"/>
      <c r="H133" s="133"/>
      <c r="I133" s="147" t="n">
        <f aca="false">I73</f>
        <v>254.33</v>
      </c>
    </row>
    <row r="134" customFormat="false" ht="15.75" hidden="false" customHeight="true" outlineLevel="0" collapsed="false">
      <c r="A134" s="131" t="s">
        <v>324</v>
      </c>
      <c r="B134" s="133" t="str">
        <f aca="false">A78</f>
        <v>MÓDULO 4 – CUSTO DE REPOSIÇÃO DO PROFISSIONAL AUSENTE</v>
      </c>
      <c r="C134" s="133"/>
      <c r="D134" s="133"/>
      <c r="E134" s="133"/>
      <c r="F134" s="133"/>
      <c r="G134" s="133"/>
      <c r="H134" s="133"/>
      <c r="I134" s="147" t="n">
        <f aca="false">I96</f>
        <v>74.25</v>
      </c>
    </row>
    <row r="135" customFormat="false" ht="15.75" hidden="false" customHeight="true" outlineLevel="0" collapsed="false">
      <c r="A135" s="131" t="s">
        <v>350</v>
      </c>
      <c r="B135" s="133" t="str">
        <f aca="false">A98</f>
        <v>MÓDULO 5 – INSUMOS DIVERSOS</v>
      </c>
      <c r="C135" s="133"/>
      <c r="D135" s="133"/>
      <c r="E135" s="133"/>
      <c r="F135" s="133"/>
      <c r="G135" s="133"/>
      <c r="H135" s="133"/>
      <c r="I135" s="147" t="n">
        <f aca="false">I104</f>
        <v>44.49</v>
      </c>
    </row>
    <row r="136" customFormat="false" ht="15.75" hidden="false" customHeight="true" outlineLevel="0" collapsed="false">
      <c r="A136" s="132" t="s">
        <v>450</v>
      </c>
      <c r="B136" s="132"/>
      <c r="C136" s="132"/>
      <c r="D136" s="132"/>
      <c r="E136" s="132"/>
      <c r="F136" s="132"/>
      <c r="G136" s="132"/>
      <c r="H136" s="132"/>
      <c r="I136" s="146" t="n">
        <f aca="false">SUM(I131:I135)</f>
        <v>3985.81</v>
      </c>
    </row>
    <row r="137" customFormat="false" ht="15.75" hidden="false" customHeight="true" outlineLevel="0" collapsed="false">
      <c r="A137" s="131" t="s">
        <v>352</v>
      </c>
      <c r="B137" s="133" t="str">
        <f aca="false">A111</f>
        <v>MÓDULO 6 – CUSTOS INDIRETOS, TRIBUTOS E LUCRO</v>
      </c>
      <c r="C137" s="133"/>
      <c r="D137" s="133"/>
      <c r="E137" s="133"/>
      <c r="F137" s="133"/>
      <c r="G137" s="133"/>
      <c r="H137" s="133"/>
      <c r="I137" s="147" t="n">
        <f aca="false">I119</f>
        <v>1382.83</v>
      </c>
    </row>
    <row r="138" customFormat="false" ht="15.75" hidden="false" customHeight="true" outlineLevel="0" collapsed="false">
      <c r="A138" s="132" t="s">
        <v>451</v>
      </c>
      <c r="B138" s="132"/>
      <c r="C138" s="132"/>
      <c r="D138" s="132"/>
      <c r="E138" s="132"/>
      <c r="F138" s="132"/>
      <c r="G138" s="132"/>
      <c r="H138" s="132"/>
      <c r="I138" s="146" t="n">
        <f aca="false">SUM(I136:I137)</f>
        <v>5368.64</v>
      </c>
    </row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4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34:H134"/>
    <mergeCell ref="B135:H135"/>
    <mergeCell ref="A136:H136"/>
    <mergeCell ref="B137:H137"/>
    <mergeCell ref="A138:H138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999"/>
  <sheetViews>
    <sheetView showFormulas="false" showGridLines="true" showRowColHeaders="true" showZeros="true" rightToLeft="false" tabSelected="false" showOutlineSymbols="true" defaultGridColor="true" view="pageBreakPreview" topLeftCell="A119" colorId="64" zoomScale="80" zoomScaleNormal="100" zoomScalePageLayoutView="80" workbookViewId="0">
      <selection pane="topLeft" activeCell="J139" activeCellId="0" sqref="J139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8.89"/>
    <col collapsed="false" customWidth="false" hidden="false" outlineLevel="0" max="3" min="3" style="1" width="8.67"/>
    <col collapsed="false" customWidth="true" hidden="false" outlineLevel="0" max="4" min="4" style="1" width="10.33"/>
    <col collapsed="false" customWidth="false" hidden="false" outlineLevel="0" max="5" min="5" style="1" width="8.67"/>
    <col collapsed="false" customWidth="true" hidden="false" outlineLevel="0" max="6" min="6" style="1" width="17.11"/>
    <col collapsed="false" customWidth="true" hidden="false" outlineLevel="0" max="7" min="7" style="1" width="24.44"/>
    <col collapsed="false" customWidth="true" hidden="false" outlineLevel="0" max="8" min="8" style="1" width="16.11"/>
    <col collapsed="false" customWidth="true" hidden="false" outlineLevel="0" max="9" min="9" style="1" width="30.66"/>
    <col collapsed="false" customWidth="true" hidden="false" outlineLevel="0" max="1025" min="10" style="1" width="14.43"/>
  </cols>
  <sheetData>
    <row r="1" customFormat="false" ht="14.4" hidden="false" customHeight="false" outlineLevel="0" collapsed="false">
      <c r="A1" s="129" t="s">
        <v>452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30"/>
      <c r="B2" s="130"/>
      <c r="C2" s="130"/>
      <c r="D2" s="130"/>
      <c r="E2" s="130"/>
      <c r="F2" s="130"/>
      <c r="G2" s="130"/>
      <c r="H2" s="130"/>
      <c r="I2" s="130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9.6" hidden="false" customHeight="tru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4.4" hidden="false" customHeight="fals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331</v>
      </c>
      <c r="D13" s="137"/>
      <c r="E13" s="131" t="n">
        <v>3</v>
      </c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</row>
    <row r="15" customFormat="false" ht="14.4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453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454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39" t="n">
        <v>1747.04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6" hidden="false" customHeight="tru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1747.04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/>
      <c r="I25" s="144" t="n">
        <v>0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1747.04</v>
      </c>
    </row>
    <row r="30" customFormat="false" ht="9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145.53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211.39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356.92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1747.04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356.92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2103.96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420.79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52.6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126.24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31.56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21.04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12.62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4.21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168.32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837.38</v>
      </c>
    </row>
    <row r="49" customFormat="false" ht="10.2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s">
        <v>455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7.57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448.34</v>
      </c>
    </row>
    <row r="56" customFormat="false" ht="7.2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356.92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837.38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448.34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1642.64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1747.04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1642.64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3389.68</v>
      </c>
    </row>
    <row r="66" customFormat="false" ht="15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57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14.24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1.02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62.71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25.08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135.59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238.64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1747.04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1642.64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238.64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3628.32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33.74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20.32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1.09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11.97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2.54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69.66</v>
      </c>
    </row>
    <row r="87" customFormat="false" ht="7.2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7.8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69.66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69.66</v>
      </c>
    </row>
    <row r="97" customFormat="false" ht="7.8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v>0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EPIS!F31</f>
        <v>293.81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UNIFORMES!G31</f>
        <v>45.82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EQUIPAMENTOS'!I46</f>
        <v>19.01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358.64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1747.04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1642.64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238.64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69.66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358.64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4056.62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202.83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425.95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90.16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415.27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273.2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1407.41</v>
      </c>
    </row>
    <row r="120" customFormat="false" ht="6.6" hidden="false" customHeight="true" outlineLevel="0" collapsed="false">
      <c r="A120" s="135"/>
      <c r="B120" s="135"/>
      <c r="C120" s="135"/>
      <c r="D120" s="135"/>
      <c r="E120" s="135"/>
      <c r="F120" s="135"/>
      <c r="G120" s="135"/>
      <c r="H120" s="135"/>
      <c r="I120" s="135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4685.4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5464.02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778.62</v>
      </c>
    </row>
    <row r="129" customFormat="false" ht="15.75" hidden="false" customHeight="true" outlineLevel="0" collapsed="false">
      <c r="A129" s="132" t="s">
        <v>448</v>
      </c>
      <c r="B129" s="132"/>
      <c r="C129" s="132"/>
      <c r="D129" s="132"/>
      <c r="E129" s="132"/>
      <c r="F129" s="132"/>
      <c r="G129" s="132"/>
      <c r="H129" s="132"/>
      <c r="I129" s="132"/>
    </row>
    <row r="130" customFormat="false" ht="15.75" hidden="false" customHeight="true" outlineLevel="0" collapsed="false">
      <c r="A130" s="132" t="s">
        <v>449</v>
      </c>
      <c r="B130" s="132"/>
      <c r="C130" s="132"/>
      <c r="D130" s="132"/>
      <c r="E130" s="132"/>
      <c r="F130" s="132"/>
      <c r="G130" s="132"/>
      <c r="H130" s="132"/>
      <c r="I130" s="132" t="s">
        <v>345</v>
      </c>
    </row>
    <row r="131" customFormat="false" ht="15.75" hidden="false" customHeight="true" outlineLevel="0" collapsed="false">
      <c r="A131" s="131" t="s">
        <v>316</v>
      </c>
      <c r="B131" s="133" t="str">
        <f aca="false">A21</f>
        <v>MÓDULO 1 - COMPOSIÇÃO DA REMUNERAÇÃO</v>
      </c>
      <c r="C131" s="133"/>
      <c r="D131" s="133"/>
      <c r="E131" s="133"/>
      <c r="F131" s="133"/>
      <c r="G131" s="133"/>
      <c r="H131" s="133"/>
      <c r="I131" s="147" t="n">
        <f aca="false">I29</f>
        <v>1747.04</v>
      </c>
    </row>
    <row r="132" customFormat="false" ht="15.75" hidden="false" customHeight="true" outlineLevel="0" collapsed="false">
      <c r="A132" s="131" t="s">
        <v>318</v>
      </c>
      <c r="B132" s="133" t="str">
        <f aca="false">A31</f>
        <v>MÓDULO 2 – ENCARGOS E BENEFÍCIOS ANUAIS, MENSAIS E DIÁRIOS</v>
      </c>
      <c r="C132" s="133"/>
      <c r="D132" s="133"/>
      <c r="E132" s="133"/>
      <c r="F132" s="133"/>
      <c r="G132" s="133"/>
      <c r="H132" s="133"/>
      <c r="I132" s="147" t="n">
        <f aca="false">I62</f>
        <v>1642.64</v>
      </c>
    </row>
    <row r="133" customFormat="false" ht="15.75" hidden="false" customHeight="true" outlineLevel="0" collapsed="false">
      <c r="A133" s="131" t="s">
        <v>321</v>
      </c>
      <c r="B133" s="133" t="str">
        <f aca="false">A66</f>
        <v>MÓDULO 3 – PROVISÃO PARA RESCISÃO</v>
      </c>
      <c r="C133" s="133"/>
      <c r="D133" s="133"/>
      <c r="E133" s="133"/>
      <c r="F133" s="133"/>
      <c r="G133" s="133"/>
      <c r="H133" s="133"/>
      <c r="I133" s="147" t="n">
        <f aca="false">I73</f>
        <v>238.64</v>
      </c>
    </row>
    <row r="134" customFormat="false" ht="15.75" hidden="false" customHeight="true" outlineLevel="0" collapsed="false">
      <c r="A134" s="131" t="s">
        <v>324</v>
      </c>
      <c r="B134" s="133" t="str">
        <f aca="false">A78</f>
        <v>MÓDULO 4 – CUSTO DE REPOSIÇÃO DO PROFISSIONAL AUSENTE</v>
      </c>
      <c r="C134" s="133"/>
      <c r="D134" s="133"/>
      <c r="E134" s="133"/>
      <c r="F134" s="133"/>
      <c r="G134" s="133"/>
      <c r="H134" s="133"/>
      <c r="I134" s="147" t="n">
        <f aca="false">I96</f>
        <v>69.66</v>
      </c>
    </row>
    <row r="135" customFormat="false" ht="15.75" hidden="false" customHeight="true" outlineLevel="0" collapsed="false">
      <c r="A135" s="131" t="s">
        <v>350</v>
      </c>
      <c r="B135" s="133" t="str">
        <f aca="false">A98</f>
        <v>MÓDULO 5 – INSUMOS DIVERSOS</v>
      </c>
      <c r="C135" s="133"/>
      <c r="D135" s="133"/>
      <c r="E135" s="133"/>
      <c r="F135" s="133"/>
      <c r="G135" s="133"/>
      <c r="H135" s="133"/>
      <c r="I135" s="147" t="n">
        <f aca="false">I104</f>
        <v>358.64</v>
      </c>
    </row>
    <row r="136" customFormat="false" ht="15.75" hidden="false" customHeight="true" outlineLevel="0" collapsed="false">
      <c r="A136" s="132" t="s">
        <v>450</v>
      </c>
      <c r="B136" s="132"/>
      <c r="C136" s="132"/>
      <c r="D136" s="132"/>
      <c r="E136" s="132"/>
      <c r="F136" s="132"/>
      <c r="G136" s="132"/>
      <c r="H136" s="132"/>
      <c r="I136" s="146" t="n">
        <f aca="false">SUM(I131:I135)</f>
        <v>4056.62</v>
      </c>
    </row>
    <row r="137" customFormat="false" ht="15.75" hidden="false" customHeight="true" outlineLevel="0" collapsed="false">
      <c r="A137" s="131" t="s">
        <v>352</v>
      </c>
      <c r="B137" s="133" t="str">
        <f aca="false">A111</f>
        <v>MÓDULO 6 – CUSTOS INDIRETOS, TRIBUTOS E LUCRO</v>
      </c>
      <c r="C137" s="133"/>
      <c r="D137" s="133"/>
      <c r="E137" s="133"/>
      <c r="F137" s="133"/>
      <c r="G137" s="133"/>
      <c r="H137" s="133"/>
      <c r="I137" s="147" t="n">
        <f aca="false">I119</f>
        <v>1407.41</v>
      </c>
    </row>
    <row r="138" customFormat="false" ht="15.75" hidden="false" customHeight="true" outlineLevel="0" collapsed="false">
      <c r="A138" s="132" t="s">
        <v>451</v>
      </c>
      <c r="B138" s="132"/>
      <c r="C138" s="132"/>
      <c r="D138" s="132"/>
      <c r="E138" s="132"/>
      <c r="F138" s="132"/>
      <c r="G138" s="132"/>
      <c r="H138" s="132"/>
      <c r="I138" s="146" t="n">
        <f aca="false">SUM(I136:I137)</f>
        <v>5464.03</v>
      </c>
    </row>
    <row r="139" customFormat="false" ht="27" hidden="false" customHeight="true" outlineLevel="0" collapsed="false">
      <c r="A139" s="180" t="s">
        <v>456</v>
      </c>
      <c r="B139" s="180"/>
      <c r="C139" s="180"/>
      <c r="D139" s="180"/>
      <c r="E139" s="180"/>
      <c r="F139" s="180"/>
      <c r="G139" s="157" t="s">
        <v>457</v>
      </c>
      <c r="H139" s="157"/>
      <c r="I139" s="181" t="s">
        <v>458</v>
      </c>
    </row>
    <row r="140" customFormat="false" ht="15.75" hidden="false" customHeight="true" outlineLevel="0" collapsed="false">
      <c r="A140" s="182" t="n">
        <f aca="false">E13</f>
        <v>3</v>
      </c>
      <c r="B140" s="182"/>
      <c r="C140" s="182"/>
      <c r="D140" s="182"/>
      <c r="E140" s="182"/>
      <c r="F140" s="182"/>
      <c r="G140" s="183" t="n">
        <f aca="false">I138</f>
        <v>5464.03</v>
      </c>
      <c r="H140" s="183"/>
      <c r="I140" s="184" t="n">
        <f aca="false">A140*G140</f>
        <v>16392.09</v>
      </c>
    </row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</sheetData>
  <mergeCells count="148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34:H134"/>
    <mergeCell ref="B135:H135"/>
    <mergeCell ref="A136:H136"/>
    <mergeCell ref="B137:H137"/>
    <mergeCell ref="A138:H138"/>
    <mergeCell ref="A139:F139"/>
    <mergeCell ref="G139:H139"/>
    <mergeCell ref="A140:F140"/>
    <mergeCell ref="G140:H140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997"/>
  <sheetViews>
    <sheetView showFormulas="false" showGridLines="true" showRowColHeaders="true" showZeros="true" rightToLeft="false" tabSelected="false" showOutlineSymbols="true" defaultGridColor="true" view="pageBreakPreview" topLeftCell="A132" colorId="64" zoomScale="80" zoomScaleNormal="100" zoomScalePageLayoutView="80" workbookViewId="0">
      <selection pane="topLeft" activeCell="I69" activeCellId="0" sqref="I69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2.44"/>
    <col collapsed="false" customWidth="true" hidden="false" outlineLevel="0" max="3" min="3" style="1" width="15"/>
    <col collapsed="false" customWidth="true" hidden="false" outlineLevel="0" max="4" min="4" style="1" width="15.34"/>
    <col collapsed="false" customWidth="true" hidden="false" outlineLevel="0" max="5" min="5" style="1" width="13.43"/>
    <col collapsed="false" customWidth="true" hidden="false" outlineLevel="0" max="6" min="6" style="1" width="13.55"/>
    <col collapsed="false" customWidth="true" hidden="false" outlineLevel="0" max="7" min="7" style="1" width="14.88"/>
    <col collapsed="false" customWidth="true" hidden="false" outlineLevel="0" max="8" min="8" style="1" width="13.55"/>
    <col collapsed="false" customWidth="true" hidden="false" outlineLevel="0" max="9" min="9" style="1" width="32.66"/>
    <col collapsed="false" customWidth="true" hidden="false" outlineLevel="0" max="10" min="10" style="1" width="7.11"/>
    <col collapsed="false" customWidth="true" hidden="false" outlineLevel="0" max="12" min="11" style="1" width="10.58"/>
    <col collapsed="false" customWidth="true" hidden="false" outlineLevel="0" max="13" min="13" style="1" width="7.11"/>
    <col collapsed="false" customWidth="true" hidden="false" outlineLevel="0" max="14" min="14" style="1" width="10.58"/>
    <col collapsed="false" customWidth="true" hidden="false" outlineLevel="0" max="1025" min="15" style="1" width="14.43"/>
  </cols>
  <sheetData>
    <row r="1" customFormat="false" ht="14.4" hidden="false" customHeight="false" outlineLevel="0" collapsed="false">
      <c r="A1" s="129" t="s">
        <v>459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29"/>
      <c r="B2" s="129"/>
      <c r="C2" s="129"/>
      <c r="D2" s="129"/>
      <c r="E2" s="129"/>
      <c r="F2" s="129"/>
      <c r="G2" s="129"/>
      <c r="H2" s="129"/>
      <c r="I2" s="129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4.4" hidden="false" customHeight="fals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2.75" hidden="false" customHeight="tru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</row>
    <row r="15" customFormat="false" ht="14.4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1" t="s">
        <v>461</v>
      </c>
      <c r="J15" s="185"/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/>
      <c r="I25" s="144" t="n">
        <v>0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1445.55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120.41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174.91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295.32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1445.55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295.32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1740.87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348.17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43.52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104.45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26.11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17.41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10.45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3.48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139.27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692.86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87" t="n">
        <f aca="false">SUM(I51:I54)</f>
        <v>447.03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295.32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692.86</v>
      </c>
      <c r="N60" s="188"/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1435.21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1445.55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1435.21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2880.76</v>
      </c>
    </row>
    <row r="66" customFormat="false" ht="15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29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12.1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0.86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53.29</v>
      </c>
    </row>
    <row r="71" customFormat="false" ht="15.75" hidden="false" customHeight="true" outlineLevel="0" collapsed="false">
      <c r="A71" s="18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21.32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115.23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202.8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1445.55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1435.21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202.8</v>
      </c>
      <c r="N76" s="190"/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3083.56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28.68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ROUND((2/30)/12,4)</f>
        <v>0.0056</v>
      </c>
      <c r="I81" s="147" t="n">
        <f aca="false">ROUND(H81*$I$77,2)</f>
        <v>17.27</v>
      </c>
      <c r="L81" s="190"/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0.93</v>
      </c>
      <c r="K82" s="190"/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10.18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2.16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59.22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59.22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59.22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MATERIAIS!F61</f>
        <v>774.8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EPIS!F14</f>
        <v>53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UNIFORMES!G21</f>
        <v>44.49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EQUIPAMENTOS'!I44</f>
        <v>0.14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872.43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1445.55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1435.21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202.8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59.22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872.43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4015.21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200.76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421.6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89.24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411.03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270.41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1393.04</v>
      </c>
    </row>
    <row r="120" customFormat="false" ht="15.75" hidden="false" customHeight="true" outlineLevel="0" collapsed="false">
      <c r="A120" s="191"/>
      <c r="B120" s="192"/>
      <c r="C120" s="192"/>
      <c r="D120" s="192"/>
      <c r="E120" s="192"/>
      <c r="F120" s="192"/>
      <c r="G120" s="192"/>
      <c r="H120" s="192"/>
      <c r="I120" s="192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9"/>
      <c r="C123" s="179"/>
      <c r="D123" s="179"/>
      <c r="E123" s="179"/>
      <c r="F123" s="179"/>
      <c r="G123" s="179"/>
      <c r="H123" s="171"/>
      <c r="I123" s="172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4637.57</v>
      </c>
    </row>
    <row r="125" customFormat="false" ht="15.75" hidden="false" customHeight="true" outlineLevel="0" collapsed="false">
      <c r="A125" s="169"/>
      <c r="B125" s="179"/>
      <c r="C125" s="179"/>
      <c r="D125" s="179"/>
      <c r="E125" s="179"/>
      <c r="F125" s="179"/>
      <c r="G125" s="179"/>
      <c r="H125" s="171"/>
      <c r="I125" s="172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5408.24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770.669999999999</v>
      </c>
    </row>
    <row r="129" customFormat="false" ht="15.75" hidden="false" customHeight="true" outlineLevel="0" collapsed="false">
      <c r="A129" s="191"/>
      <c r="B129" s="193"/>
      <c r="C129" s="193"/>
      <c r="D129" s="193"/>
      <c r="E129" s="193"/>
      <c r="F129" s="193"/>
      <c r="G129" s="193"/>
      <c r="H129" s="193"/>
      <c r="I129" s="194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47" t="n">
        <f aca="false">I29</f>
        <v>1445.55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47" t="n">
        <f aca="false">I62</f>
        <v>1435.21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47" t="n">
        <f aca="false">I73</f>
        <v>202.8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47" t="n">
        <f aca="false">I96</f>
        <v>59.22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47" t="n">
        <f aca="false">I104</f>
        <v>872.43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4015.21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47" t="n">
        <f aca="false">I119</f>
        <v>1393.04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5408.25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97"/>
  <sheetViews>
    <sheetView showFormulas="false" showGridLines="true" showRowColHeaders="true" showZeros="true" rightToLeft="false" tabSelected="false" showOutlineSymbols="true" defaultGridColor="true" view="pageBreakPreview" topLeftCell="A73" colorId="64" zoomScale="80" zoomScaleNormal="100" zoomScalePageLayoutView="80" workbookViewId="0">
      <selection pane="topLeft" activeCell="I25" activeCellId="0" sqref="I25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9"/>
    <col collapsed="false" customWidth="true" hidden="false" outlineLevel="0" max="3" min="3" style="1" width="14.11"/>
    <col collapsed="false" customWidth="true" hidden="false" outlineLevel="0" max="4" min="4" style="1" width="11.99"/>
    <col collapsed="false" customWidth="true" hidden="false" outlineLevel="0" max="5" min="5" style="1" width="12.44"/>
    <col collapsed="false" customWidth="true" hidden="false" outlineLevel="0" max="6" min="6" style="1" width="11.45"/>
    <col collapsed="false" customWidth="true" hidden="false" outlineLevel="0" max="7" min="7" style="1" width="15.11"/>
    <col collapsed="false" customWidth="true" hidden="false" outlineLevel="0" max="8" min="8" style="1" width="14.66"/>
    <col collapsed="false" customWidth="true" hidden="false" outlineLevel="0" max="9" min="9" style="1" width="28.11"/>
    <col collapsed="false" customWidth="true" hidden="false" outlineLevel="0" max="10" min="10" style="1" width="7.11"/>
    <col collapsed="false" customWidth="false" hidden="false" outlineLevel="0" max="26" min="11" style="1" width="8.67"/>
    <col collapsed="false" customWidth="true" hidden="false" outlineLevel="0" max="1025" min="27" style="1" width="14.43"/>
  </cols>
  <sheetData>
    <row r="1" customFormat="false" ht="14.4" hidden="false" customHeight="false" outlineLevel="0" collapsed="false">
      <c r="A1" s="129" t="s">
        <v>463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30"/>
      <c r="B2" s="130"/>
      <c r="C2" s="130"/>
      <c r="D2" s="130"/>
      <c r="E2" s="130"/>
      <c r="F2" s="130"/>
      <c r="G2" s="130"/>
      <c r="H2" s="130"/>
      <c r="I2" s="130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2.75" hidden="false" customHeight="tru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85"/>
    </row>
    <row r="15" customFormat="false" ht="23.8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461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 t="n">
        <v>0.2</v>
      </c>
      <c r="I25" s="144" t="n">
        <f aca="false">ROUND(1518*20%,2)</f>
        <v>303.6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1749.15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145.7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211.65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357.35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1749.15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357.35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2106.5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421.3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52.66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126.39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31.6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21.07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12.64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4.21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168.52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838.39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447.03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357.35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838.39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1642.77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1749.15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1642.77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3391.92</v>
      </c>
    </row>
    <row r="66" customFormat="false" ht="15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27.75" hidden="false" customHeight="true" outlineLevel="0" collapsed="false">
      <c r="A67" s="132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14.25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1.02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62.75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25.1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135.68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238.8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1749.15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1642.77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238.8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3630.72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33.77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20.33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1.09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11.98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2.54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69.71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69.71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69.71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MATERIAIS!F61</f>
        <v>774.8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EPIS!F21</f>
        <v>104.2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UNIFORMES!G11</f>
        <v>51.77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EQUIPAMENTOS'!I44</f>
        <v>0.14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930.91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1749.15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1642.77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238.8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69.71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930.91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4631.34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231.57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486.29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102.93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474.1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311.91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1606.8</v>
      </c>
    </row>
    <row r="120" customFormat="false" ht="15.75" hidden="false" customHeight="true" outlineLevel="0" collapsed="false">
      <c r="A120" s="135"/>
      <c r="B120" s="135"/>
      <c r="C120" s="135"/>
      <c r="D120" s="135"/>
      <c r="E120" s="135"/>
      <c r="F120" s="135"/>
      <c r="G120" s="135"/>
      <c r="H120" s="135"/>
      <c r="I120" s="135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5349.2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6238.13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888.93</v>
      </c>
    </row>
    <row r="129" customFormat="false" ht="15.75" hidden="false" customHeight="true" outlineLevel="0" collapsed="false">
      <c r="A129" s="191"/>
      <c r="B129" s="193"/>
      <c r="C129" s="193"/>
      <c r="D129" s="193"/>
      <c r="E129" s="193"/>
      <c r="F129" s="193"/>
      <c r="G129" s="193"/>
      <c r="H129" s="193"/>
      <c r="I129" s="194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47" t="n">
        <f aca="false">I29</f>
        <v>1749.15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47" t="n">
        <f aca="false">I62</f>
        <v>1642.77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47" t="n">
        <f aca="false">I73</f>
        <v>238.8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47" t="n">
        <f aca="false">I96</f>
        <v>69.71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47" t="n">
        <f aca="false">I104</f>
        <v>930.91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4631.34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47" t="n">
        <f aca="false">I119</f>
        <v>1606.8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6238.14</v>
      </c>
    </row>
    <row r="140" customFormat="false" ht="15.75" hidden="false" customHeight="true" outlineLevel="0" collapsed="false">
      <c r="E140" s="195"/>
      <c r="F140" s="195"/>
      <c r="G140" s="195"/>
    </row>
    <row r="141" customFormat="false" ht="15.75" hidden="false" customHeight="true" outlineLevel="0" collapsed="false">
      <c r="A141" s="196" t="s">
        <v>464</v>
      </c>
      <c r="B141" s="197"/>
      <c r="C141" s="197"/>
      <c r="D141" s="197"/>
      <c r="E141" s="197"/>
      <c r="F141" s="197"/>
      <c r="G141" s="197"/>
    </row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97"/>
  <sheetViews>
    <sheetView showFormulas="false" showGridLines="true" showRowColHeaders="true" showZeros="true" rightToLeft="false" tabSelected="false" showOutlineSymbols="true" defaultGridColor="true" view="pageBreakPreview" topLeftCell="A30" colorId="64" zoomScale="80" zoomScaleNormal="100" zoomScalePageLayoutView="80" workbookViewId="0">
      <selection pane="topLeft" activeCell="A57" activeCellId="0" sqref="A57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0.89"/>
    <col collapsed="false" customWidth="true" hidden="false" outlineLevel="0" max="4" min="3" style="1" width="14.88"/>
    <col collapsed="false" customWidth="true" hidden="false" outlineLevel="0" max="5" min="5" style="1" width="12.44"/>
    <col collapsed="false" customWidth="true" hidden="false" outlineLevel="0" max="6" min="6" style="1" width="10.45"/>
    <col collapsed="false" customWidth="true" hidden="false" outlineLevel="0" max="7" min="7" style="1" width="14.66"/>
    <col collapsed="false" customWidth="true" hidden="false" outlineLevel="0" max="8" min="8" style="1" width="17.33"/>
    <col collapsed="false" customWidth="true" hidden="false" outlineLevel="0" max="9" min="9" style="1" width="28.57"/>
    <col collapsed="false" customWidth="true" hidden="false" outlineLevel="0" max="10" min="10" style="1" width="7.11"/>
    <col collapsed="false" customWidth="true" hidden="false" outlineLevel="0" max="1025" min="11" style="1" width="14.43"/>
  </cols>
  <sheetData>
    <row r="1" customFormat="false" ht="14.4" hidden="false" customHeight="false" outlineLevel="0" collapsed="false">
      <c r="A1" s="129" t="s">
        <v>465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29"/>
      <c r="B2" s="129"/>
      <c r="C2" s="129"/>
      <c r="D2" s="129"/>
      <c r="E2" s="129"/>
      <c r="F2" s="129"/>
      <c r="G2" s="129"/>
      <c r="H2" s="129"/>
      <c r="I2" s="129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2.75" hidden="false" customHeight="tru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85"/>
    </row>
    <row r="15" customFormat="false" ht="23.8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461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/>
      <c r="I25" s="144" t="n">
        <v>0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1445.55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120.41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174.91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295.32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1445.55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295.32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1740.87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348.17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43.52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104.45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26.11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17.41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10.45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3.48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139.27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692.86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447.03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295.32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692.86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1435.21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1445.55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1435.21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2880.76</v>
      </c>
    </row>
    <row r="66" customFormat="false" ht="27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29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12.1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0.86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53.29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21.32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115.23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202.8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1445.55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1435.21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202.8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3083.56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28.68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17.27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0.93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10.18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2.16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59.22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59.22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59.22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MATERIAIS!F61</f>
        <v>774.8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EPIS!F14</f>
        <v>53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UNIFORMES!G21</f>
        <v>44.49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EQUIPAMENTOS'!I44</f>
        <v>0.14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872.43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1445.55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1435.21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202.8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59.22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872.43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4015.21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200.76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421.6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89.24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411.03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270.41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1393.04</v>
      </c>
    </row>
    <row r="120" customFormat="false" ht="15.75" hidden="false" customHeight="true" outlineLevel="0" collapsed="false">
      <c r="A120" s="198"/>
      <c r="B120" s="199"/>
      <c r="C120" s="199"/>
      <c r="D120" s="199"/>
      <c r="E120" s="199"/>
      <c r="F120" s="199"/>
      <c r="G120" s="199"/>
      <c r="H120" s="200"/>
      <c r="I120" s="201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4637.57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5408.24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770.669999999999</v>
      </c>
    </row>
    <row r="129" customFormat="false" ht="15.75" hidden="false" customHeight="true" outlineLevel="0" collapsed="false">
      <c r="A129" s="169"/>
      <c r="B129" s="179"/>
      <c r="H129" s="171"/>
      <c r="I129" s="172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47" t="n">
        <f aca="false">I29</f>
        <v>1445.55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47" t="n">
        <f aca="false">I62</f>
        <v>1435.21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47" t="n">
        <f aca="false">I73</f>
        <v>202.8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47" t="n">
        <f aca="false">I96</f>
        <v>59.22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47" t="n">
        <f aca="false">I104</f>
        <v>872.43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4015.21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47" t="n">
        <f aca="false">I119</f>
        <v>1393.04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5408.25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3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0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97"/>
  <sheetViews>
    <sheetView showFormulas="false" showGridLines="true" showRowColHeaders="true" showZeros="true" rightToLeft="false" tabSelected="false" showOutlineSymbols="true" defaultGridColor="true" view="pageBreakPreview" topLeftCell="A38" colorId="64" zoomScale="80" zoomScaleNormal="100" zoomScalePageLayoutView="80" workbookViewId="0">
      <selection pane="topLeft" activeCell="I58" activeCellId="0" sqref="I58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0.89"/>
    <col collapsed="false" customWidth="true" hidden="false" outlineLevel="0" max="4" min="3" style="1" width="14.88"/>
    <col collapsed="false" customWidth="true" hidden="false" outlineLevel="0" max="5" min="5" style="1" width="12.44"/>
    <col collapsed="false" customWidth="true" hidden="false" outlineLevel="0" max="6" min="6" style="1" width="10.45"/>
    <col collapsed="false" customWidth="true" hidden="false" outlineLevel="0" max="7" min="7" style="1" width="14.66"/>
    <col collapsed="false" customWidth="true" hidden="false" outlineLevel="0" max="8" min="8" style="1" width="17.33"/>
    <col collapsed="false" customWidth="true" hidden="false" outlineLevel="0" max="9" min="9" style="1" width="28.57"/>
    <col collapsed="false" customWidth="true" hidden="false" outlineLevel="0" max="10" min="10" style="1" width="7.11"/>
    <col collapsed="false" customWidth="true" hidden="false" outlineLevel="0" max="1025" min="11" style="1" width="14.43"/>
  </cols>
  <sheetData>
    <row r="1" customFormat="false" ht="14.4" hidden="false" customHeight="false" outlineLevel="0" collapsed="false">
      <c r="A1" s="129" t="s">
        <v>466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29"/>
      <c r="B2" s="129"/>
      <c r="C2" s="129"/>
      <c r="D2" s="129"/>
      <c r="E2" s="129"/>
      <c r="F2" s="129"/>
      <c r="G2" s="129"/>
      <c r="H2" s="129"/>
      <c r="I2" s="129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2.75" hidden="false" customHeight="tru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85"/>
    </row>
    <row r="15" customFormat="false" ht="23.8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461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 t="n">
        <v>0.2</v>
      </c>
      <c r="I25" s="144" t="n">
        <f aca="false">ROUND(1518*20%,2)</f>
        <v>303.6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1749.15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145.7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211.65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357.35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1749.15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357.35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2106.5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421.3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52.66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126.39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31.6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21.07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12.64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4.21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168.52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838.39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447.03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357.35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838.39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1642.77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1749.15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1642.77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3391.92</v>
      </c>
    </row>
    <row r="66" customFormat="false" ht="27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29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14.25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1.02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62.75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25.1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135.68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238.8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1749.15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1642.77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238.8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3630.72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33.77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20.33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1.09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11.98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2.54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69.71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69.71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69.71</v>
      </c>
    </row>
    <row r="97" customFormat="false" ht="9.9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MATERIAIS!F61</f>
        <v>774.8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EPIS!F21</f>
        <v>104.2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UNIFORMES!G11</f>
        <v>51.77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EQUIPAMENTOS'!I44</f>
        <v>0.14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930.91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1749.15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1642.77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238.8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69.71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930.91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4631.34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231.57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486.29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102.93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474.1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311.91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1606.8</v>
      </c>
    </row>
    <row r="120" customFormat="false" ht="9" hidden="false" customHeight="true" outlineLevel="0" collapsed="false">
      <c r="A120" s="198"/>
      <c r="B120" s="199"/>
      <c r="C120" s="199"/>
      <c r="D120" s="199"/>
      <c r="E120" s="199"/>
      <c r="F120" s="199"/>
      <c r="G120" s="199"/>
      <c r="H120" s="200"/>
      <c r="I120" s="201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5349.2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6238.13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888.93</v>
      </c>
    </row>
    <row r="129" customFormat="false" ht="15.75" hidden="false" customHeight="true" outlineLevel="0" collapsed="false">
      <c r="A129" s="169"/>
      <c r="B129" s="179"/>
      <c r="H129" s="171"/>
      <c r="I129" s="172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47" t="n">
        <f aca="false">I29</f>
        <v>1749.15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47" t="n">
        <f aca="false">I62</f>
        <v>1642.77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47" t="n">
        <f aca="false">I73</f>
        <v>238.8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47" t="n">
        <f aca="false">I96</f>
        <v>69.71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47" t="n">
        <f aca="false">I104</f>
        <v>930.91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4631.34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47" t="n">
        <f aca="false">I119</f>
        <v>1606.8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6238.14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3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0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97"/>
  <sheetViews>
    <sheetView showFormulas="false" showGridLines="true" showRowColHeaders="true" showZeros="true" rightToLeft="false" tabSelected="false" showOutlineSymbols="true" defaultGridColor="true" view="pageBreakPreview" topLeftCell="A107" colorId="64" zoomScale="80" zoomScaleNormal="100" zoomScalePageLayoutView="80" workbookViewId="0">
      <selection pane="topLeft" activeCell="I138" activeCellId="0" sqref="I138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0.89"/>
    <col collapsed="false" customWidth="true" hidden="false" outlineLevel="0" max="4" min="3" style="1" width="14.88"/>
    <col collapsed="false" customWidth="true" hidden="false" outlineLevel="0" max="5" min="5" style="1" width="12.44"/>
    <col collapsed="false" customWidth="true" hidden="false" outlineLevel="0" max="6" min="6" style="1" width="10.45"/>
    <col collapsed="false" customWidth="true" hidden="false" outlineLevel="0" max="7" min="7" style="1" width="14.66"/>
    <col collapsed="false" customWidth="true" hidden="false" outlineLevel="0" max="8" min="8" style="1" width="17.33"/>
    <col collapsed="false" customWidth="true" hidden="false" outlineLevel="0" max="9" min="9" style="1" width="28.57"/>
    <col collapsed="false" customWidth="true" hidden="false" outlineLevel="0" max="10" min="10" style="1" width="7.11"/>
    <col collapsed="false" customWidth="true" hidden="false" outlineLevel="0" max="1025" min="11" style="1" width="14.43"/>
  </cols>
  <sheetData>
    <row r="1" customFormat="false" ht="14.4" hidden="false" customHeight="false" outlineLevel="0" collapsed="false">
      <c r="A1" s="129" t="s">
        <v>467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29"/>
      <c r="B2" s="129"/>
      <c r="C2" s="129"/>
      <c r="D2" s="129"/>
      <c r="E2" s="129"/>
      <c r="F2" s="129"/>
      <c r="G2" s="129"/>
      <c r="H2" s="129"/>
      <c r="I2" s="129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2.75" hidden="false" customHeight="tru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85"/>
    </row>
    <row r="15" customFormat="false" ht="23.8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461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/>
      <c r="I25" s="144" t="n">
        <v>0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1445.55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120.41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174.91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295.32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1445.55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295.32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1740.87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348.17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43.52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104.45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26.11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17.41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10.45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3.48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139.27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692.86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447.03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295.32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692.86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1435.21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1445.55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1435.21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2880.76</v>
      </c>
    </row>
    <row r="66" customFormat="false" ht="27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29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12.1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0.86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53.29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21.32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115.23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202.8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1445.55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1435.21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202.8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3083.56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28.68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17.27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0.93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10.18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2.16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59.22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59.22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59.22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MATERIAIS!F61</f>
        <v>774.8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EPIS!F14</f>
        <v>53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UNIFORMES!G21</f>
        <v>44.49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EQUIPAMENTOS'!I44</f>
        <v>0.14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872.43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1445.55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1435.21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202.8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59.22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872.43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4015.21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200.76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421.6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89.24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411.03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270.41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1393.04</v>
      </c>
    </row>
    <row r="120" customFormat="false" ht="8.1" hidden="false" customHeight="true" outlineLevel="0" collapsed="false">
      <c r="A120" s="198"/>
      <c r="B120" s="199"/>
      <c r="C120" s="199"/>
      <c r="D120" s="199"/>
      <c r="E120" s="199"/>
      <c r="F120" s="199"/>
      <c r="G120" s="199"/>
      <c r="H120" s="200"/>
      <c r="I120" s="201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4637.57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5408.24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770.669999999999</v>
      </c>
    </row>
    <row r="129" customFormat="false" ht="8.1" hidden="false" customHeight="true" outlineLevel="0" collapsed="false">
      <c r="A129" s="169"/>
      <c r="B129" s="179"/>
      <c r="H129" s="171"/>
      <c r="I129" s="172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47" t="n">
        <f aca="false">I29</f>
        <v>1445.55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47" t="n">
        <f aca="false">I62</f>
        <v>1435.21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47" t="n">
        <f aca="false">I73</f>
        <v>202.8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47" t="n">
        <f aca="false">I96</f>
        <v>59.22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47" t="n">
        <f aca="false">I104</f>
        <v>872.43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4015.21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47" t="n">
        <f aca="false">I119</f>
        <v>1393.04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5408.25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3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0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97"/>
  <sheetViews>
    <sheetView showFormulas="false" showGridLines="true" showRowColHeaders="true" showZeros="true" rightToLeft="false" tabSelected="false" showOutlineSymbols="true" defaultGridColor="true" view="pageBreakPreview" topLeftCell="A31" colorId="64" zoomScale="80" zoomScaleNormal="100" zoomScalePageLayoutView="80" workbookViewId="0">
      <selection pane="topLeft" activeCell="A56" activeCellId="0" sqref="A56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9"/>
    <col collapsed="false" customWidth="true" hidden="false" outlineLevel="0" max="3" min="3" style="1" width="14.21"/>
    <col collapsed="false" customWidth="true" hidden="false" outlineLevel="0" max="4" min="4" style="1" width="11.89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7" min="7" style="1" width="14.43"/>
    <col collapsed="false" customWidth="true" hidden="false" outlineLevel="0" max="8" min="8" style="1" width="14.66"/>
    <col collapsed="false" customWidth="true" hidden="false" outlineLevel="0" max="9" min="9" style="1" width="28.57"/>
    <col collapsed="false" customWidth="true" hidden="false" outlineLevel="0" max="10" min="10" style="1" width="7.11"/>
    <col collapsed="false" customWidth="true" hidden="false" outlineLevel="0" max="1025" min="11" style="1" width="14.43"/>
  </cols>
  <sheetData>
    <row r="1" customFormat="false" ht="14.4" hidden="false" customHeight="false" outlineLevel="0" collapsed="false">
      <c r="A1" s="129" t="s">
        <v>468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30"/>
      <c r="B2" s="130"/>
      <c r="C2" s="130"/>
      <c r="D2" s="130"/>
      <c r="E2" s="130"/>
      <c r="F2" s="130"/>
      <c r="G2" s="130"/>
      <c r="H2" s="130"/>
      <c r="I2" s="130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2.75" hidden="false" customHeight="tru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85"/>
    </row>
    <row r="15" customFormat="false" ht="35.0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469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 t="n">
        <v>0.4</v>
      </c>
      <c r="I25" s="144" t="n">
        <f aca="false">ROUND(1518*40%,2)</f>
        <v>607.2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2052.75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170.99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248.38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419.37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2052.75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419.37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2472.12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494.42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61.8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148.33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37.08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24.72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14.83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4.94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197.77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983.89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447.03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419.37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983.89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1850.29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2052.75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1850.29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3903.04</v>
      </c>
    </row>
    <row r="66" customFormat="false" ht="15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27.75" hidden="false" customHeight="true" outlineLevel="0" collapsed="false">
      <c r="A67" s="129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16.39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1.17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72.21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28.88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156.12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274.77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2052.75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1850.29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274.77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4177.81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38.85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23.4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1.25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13.79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2.92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80.21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80.21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80.21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MATERIAIS!F61</f>
        <v>774.8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EPIS!F21</f>
        <v>104.2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UNIFORMES!G11</f>
        <v>51.77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EQUIPAMENTOS'!I44</f>
        <v>0.14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930.91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2052.75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1850.29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274.77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80.21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930.91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5188.93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259.45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544.84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115.32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531.18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349.46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1800.25</v>
      </c>
    </row>
    <row r="120" customFormat="false" ht="15.75" hidden="false" customHeight="true" outlineLevel="0" collapsed="false">
      <c r="A120" s="135"/>
      <c r="B120" s="135"/>
      <c r="C120" s="135"/>
      <c r="D120" s="135"/>
      <c r="E120" s="135"/>
      <c r="F120" s="135"/>
      <c r="G120" s="135"/>
      <c r="H120" s="135"/>
      <c r="I120" s="135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5993.22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6989.18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995.96</v>
      </c>
    </row>
    <row r="129" customFormat="false" ht="15.75" hidden="false" customHeight="true" outlineLevel="0" collapsed="false">
      <c r="A129" s="191"/>
      <c r="B129" s="193"/>
      <c r="C129" s="193"/>
      <c r="D129" s="193"/>
      <c r="E129" s="193"/>
      <c r="F129" s="193"/>
      <c r="G129" s="193"/>
      <c r="H129" s="193"/>
      <c r="I129" s="194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147" t="n">
        <f aca="false">I29</f>
        <v>2052.75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147" t="n">
        <f aca="false">I62</f>
        <v>1850.29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147" t="n">
        <f aca="false">I73</f>
        <v>274.77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147" t="n">
        <f aca="false">I96</f>
        <v>80.21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147" t="n">
        <f aca="false">I104</f>
        <v>930.91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5188.93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147" t="n">
        <f aca="false">I119</f>
        <v>1800.25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6989.18</v>
      </c>
    </row>
    <row r="140" customFormat="false" ht="15.75" hidden="false" customHeight="true" outlineLevel="0" collapsed="false">
      <c r="A140" s="202"/>
      <c r="B140" s="203"/>
      <c r="C140" s="203"/>
      <c r="D140" s="203"/>
      <c r="E140" s="203"/>
      <c r="F140" s="203"/>
      <c r="G140" s="203"/>
      <c r="H140" s="202"/>
    </row>
    <row r="141" customFormat="false" ht="15.75" hidden="false" customHeight="true" outlineLevel="0" collapsed="false">
      <c r="A141" s="196" t="s">
        <v>464</v>
      </c>
      <c r="B141" s="197"/>
      <c r="C141" s="197"/>
      <c r="D141" s="197"/>
      <c r="E141" s="197"/>
      <c r="F141" s="197"/>
      <c r="G141" s="197"/>
      <c r="H141" s="202"/>
    </row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97"/>
  <sheetViews>
    <sheetView showFormulas="false" showGridLines="true" showRowColHeaders="true" showZeros="true" rightToLeft="false" tabSelected="false" showOutlineSymbols="true" defaultGridColor="true" view="pageBreakPreview" topLeftCell="A32" colorId="64" zoomScale="80" zoomScaleNormal="100" zoomScalePageLayoutView="80" workbookViewId="0">
      <selection pane="topLeft" activeCell="I62" activeCellId="0" sqref="I62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0.89"/>
    <col collapsed="false" customWidth="true" hidden="false" outlineLevel="0" max="4" min="3" style="1" width="14.88"/>
    <col collapsed="false" customWidth="true" hidden="false" outlineLevel="0" max="5" min="5" style="1" width="12.44"/>
    <col collapsed="false" customWidth="true" hidden="false" outlineLevel="0" max="6" min="6" style="1" width="10.45"/>
    <col collapsed="false" customWidth="true" hidden="false" outlineLevel="0" max="7" min="7" style="1" width="14.66"/>
    <col collapsed="false" customWidth="true" hidden="false" outlineLevel="0" max="8" min="8" style="1" width="17.33"/>
    <col collapsed="false" customWidth="true" hidden="false" outlineLevel="0" max="9" min="9" style="1" width="28.57"/>
    <col collapsed="false" customWidth="true" hidden="false" outlineLevel="0" max="10" min="10" style="1" width="7.11"/>
    <col collapsed="false" customWidth="true" hidden="false" outlineLevel="0" max="1025" min="11" style="1" width="14.43"/>
  </cols>
  <sheetData>
    <row r="1" customFormat="false" ht="14.4" hidden="false" customHeight="false" outlineLevel="0" collapsed="false">
      <c r="A1" s="129" t="s">
        <v>470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29"/>
      <c r="B2" s="129"/>
      <c r="C2" s="129"/>
      <c r="D2" s="129"/>
      <c r="E2" s="129"/>
      <c r="F2" s="129"/>
      <c r="G2" s="129"/>
      <c r="H2" s="129"/>
      <c r="I2" s="129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2.75" hidden="false" customHeight="tru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85"/>
    </row>
    <row r="15" customFormat="false" ht="23.8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461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/>
      <c r="I25" s="144" t="n">
        <v>0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1445.55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120.41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174.91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295.32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1445.55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295.32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1740.87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348.17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43.52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104.45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26.11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17.41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10.45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3.48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139.27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692.86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447.03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295.32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692.86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1435.21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1445.55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1435.21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2880.76</v>
      </c>
    </row>
    <row r="66" customFormat="false" ht="27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29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12.1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0.86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53.29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21.32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115.23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202.8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1445.55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1435.21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202.8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3083.56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28.68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17.27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0.93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10.18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2.16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59.22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59.22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59.22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MATERIAIS!F62</f>
        <v>0.89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EPIS!F8</f>
        <v>11.7733333333333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UNIFORMES!G31</f>
        <v>45.82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EQUIPAMENTOS'!I45</f>
        <v>6.54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65.0233333333333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1445.55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1435.21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202.8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59.22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65.0233333333333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3207.80333333333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160.39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336.82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71.29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328.37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216.04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1112.91</v>
      </c>
    </row>
    <row r="120" customFormat="false" ht="8.1" hidden="false" customHeight="true" outlineLevel="0" collapsed="false">
      <c r="A120" s="198"/>
      <c r="B120" s="199"/>
      <c r="C120" s="199"/>
      <c r="D120" s="199"/>
      <c r="E120" s="199"/>
      <c r="F120" s="199"/>
      <c r="G120" s="199"/>
      <c r="H120" s="200"/>
      <c r="I120" s="201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3705.01333333333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4320.72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615.706666666666</v>
      </c>
    </row>
    <row r="129" customFormat="false" ht="9" hidden="false" customHeight="true" outlineLevel="0" collapsed="false">
      <c r="A129" s="169"/>
      <c r="B129" s="179"/>
      <c r="H129" s="171"/>
      <c r="I129" s="172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47" t="n">
        <f aca="false">I29</f>
        <v>1445.55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47" t="n">
        <f aca="false">I62</f>
        <v>1435.21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47" t="n">
        <f aca="false">I73</f>
        <v>202.8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47" t="n">
        <f aca="false">I96</f>
        <v>59.22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47" t="n">
        <f aca="false">I104</f>
        <v>65.0233333333333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3207.80333333333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47" t="n">
        <f aca="false">I119</f>
        <v>1112.91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4320.71333333333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3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0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97"/>
  <sheetViews>
    <sheetView showFormulas="false" showGridLines="true" showRowColHeaders="true" showZeros="true" rightToLeft="false" tabSelected="false" showOutlineSymbols="true" defaultGridColor="true" view="pageBreakPreview" topLeftCell="A37" colorId="64" zoomScale="80" zoomScaleNormal="100" zoomScalePageLayoutView="80" workbookViewId="0">
      <selection pane="topLeft" activeCell="A66" activeCellId="0" sqref="A66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0.89"/>
    <col collapsed="false" customWidth="true" hidden="false" outlineLevel="0" max="4" min="3" style="1" width="14.88"/>
    <col collapsed="false" customWidth="true" hidden="false" outlineLevel="0" max="5" min="5" style="1" width="12.44"/>
    <col collapsed="false" customWidth="true" hidden="false" outlineLevel="0" max="6" min="6" style="1" width="10.45"/>
    <col collapsed="false" customWidth="true" hidden="false" outlineLevel="0" max="7" min="7" style="1" width="14.66"/>
    <col collapsed="false" customWidth="true" hidden="false" outlineLevel="0" max="8" min="8" style="1" width="17.33"/>
    <col collapsed="false" customWidth="true" hidden="false" outlineLevel="0" max="9" min="9" style="1" width="28.57"/>
    <col collapsed="false" customWidth="true" hidden="false" outlineLevel="0" max="10" min="10" style="1" width="7.11"/>
    <col collapsed="false" customWidth="true" hidden="false" outlineLevel="0" max="1025" min="11" style="1" width="14.43"/>
  </cols>
  <sheetData>
    <row r="1" customFormat="false" ht="14.4" hidden="false" customHeight="false" outlineLevel="0" collapsed="false">
      <c r="A1" s="129" t="s">
        <v>471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29"/>
      <c r="B2" s="129"/>
      <c r="C2" s="129"/>
      <c r="D2" s="129"/>
      <c r="E2" s="129"/>
      <c r="F2" s="129"/>
      <c r="G2" s="129"/>
      <c r="H2" s="129"/>
      <c r="I2" s="129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2.75" hidden="false" customHeight="tru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85"/>
    </row>
    <row r="15" customFormat="false" ht="23.8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461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/>
      <c r="I25" s="144" t="n">
        <v>0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1445.55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120.41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174.91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295.32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1445.55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295.32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1740.87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348.17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43.52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104.45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26.11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17.41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10.45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3.48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139.27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692.86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447.03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295.32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692.86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1435.21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1445.55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1435.21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2880.76</v>
      </c>
    </row>
    <row r="66" customFormat="false" ht="27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29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12.1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0.86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53.29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21.32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115.23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202.8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1445.55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1435.21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202.8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3083.56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28.68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17.27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0.93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10.18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2.16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59.22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59.22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59.22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MATERIAIS!F62</f>
        <v>0.89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EPIS!F8</f>
        <v>11.7733333333333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UNIFORMES!G31</f>
        <v>45.82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EQUIPAMENTOS'!I45</f>
        <v>6.54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65.0233333333333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1445.55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1435.21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202.8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59.22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65.0233333333333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3207.80333333333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160.39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336.82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71.29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328.37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216.04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1112.91</v>
      </c>
    </row>
    <row r="120" customFormat="false" ht="6.9" hidden="false" customHeight="true" outlineLevel="0" collapsed="false">
      <c r="A120" s="198"/>
      <c r="B120" s="199"/>
      <c r="C120" s="199"/>
      <c r="D120" s="199"/>
      <c r="E120" s="199"/>
      <c r="F120" s="199"/>
      <c r="G120" s="199"/>
      <c r="H120" s="200"/>
      <c r="I120" s="201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3705.01333333333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4320.72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615.706666666666</v>
      </c>
    </row>
    <row r="129" customFormat="false" ht="8.1" hidden="false" customHeight="true" outlineLevel="0" collapsed="false">
      <c r="A129" s="169"/>
      <c r="B129" s="179"/>
      <c r="H129" s="171"/>
      <c r="I129" s="172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47" t="n">
        <f aca="false">I29</f>
        <v>1445.55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47" t="n">
        <f aca="false">I62</f>
        <v>1435.21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47" t="n">
        <f aca="false">I73</f>
        <v>202.8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47" t="n">
        <f aca="false">I96</f>
        <v>59.22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47" t="n">
        <f aca="false">I104</f>
        <v>65.0233333333333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3207.80333333333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47" t="n">
        <f aca="false">I119</f>
        <v>1112.91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4320.71333333333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3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0" man="true" max="16383" min="0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97"/>
  <sheetViews>
    <sheetView showFormulas="false" showGridLines="true" showRowColHeaders="true" showZeros="true" rightToLeft="false" tabSelected="false" showOutlineSymbols="true" defaultGridColor="true" view="pageBreakPreview" topLeftCell="A26" colorId="64" zoomScale="80" zoomScaleNormal="100" zoomScalePageLayoutView="80" workbookViewId="0">
      <selection pane="topLeft" activeCell="A56" activeCellId="0" sqref="A56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0.89"/>
    <col collapsed="false" customWidth="true" hidden="false" outlineLevel="0" max="4" min="3" style="1" width="14.88"/>
    <col collapsed="false" customWidth="true" hidden="false" outlineLevel="0" max="5" min="5" style="1" width="12.44"/>
    <col collapsed="false" customWidth="true" hidden="false" outlineLevel="0" max="6" min="6" style="1" width="10.45"/>
    <col collapsed="false" customWidth="true" hidden="false" outlineLevel="0" max="7" min="7" style="1" width="14.66"/>
    <col collapsed="false" customWidth="true" hidden="false" outlineLevel="0" max="8" min="8" style="1" width="17.33"/>
    <col collapsed="false" customWidth="true" hidden="false" outlineLevel="0" max="9" min="9" style="1" width="28.57"/>
    <col collapsed="false" customWidth="true" hidden="false" outlineLevel="0" max="10" min="10" style="1" width="7.11"/>
    <col collapsed="false" customWidth="true" hidden="false" outlineLevel="0" max="1025" min="11" style="1" width="14.43"/>
  </cols>
  <sheetData>
    <row r="1" customFormat="false" ht="14.4" hidden="false" customHeight="false" outlineLevel="0" collapsed="false">
      <c r="A1" s="129" t="s">
        <v>472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29"/>
      <c r="B2" s="129"/>
      <c r="C2" s="129"/>
      <c r="D2" s="129"/>
      <c r="E2" s="129"/>
      <c r="F2" s="129"/>
      <c r="G2" s="129"/>
      <c r="H2" s="129"/>
      <c r="I2" s="129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2.75" hidden="false" customHeight="tru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85"/>
    </row>
    <row r="15" customFormat="false" ht="23.8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461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/>
      <c r="I25" s="144" t="n">
        <v>0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1445.55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120.41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174.91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295.32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1445.55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295.32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1740.87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348.17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43.52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104.45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26.11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17.41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10.45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3.48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139.27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692.86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447.03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295.32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692.86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1435.21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1445.55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1435.21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2880.76</v>
      </c>
    </row>
    <row r="66" customFormat="false" ht="27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29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12.1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0.86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53.29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21.32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115.23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202.8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1445.55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1435.21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202.8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3083.56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28.68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17.27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0.93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10.18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2.16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59.22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59.22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59.22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MATERIAIS!F62</f>
        <v>0.89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EPIS!F8</f>
        <v>11.7733333333333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UNIFORMES!G31</f>
        <v>45.82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EQUIPAMENTOS'!I45</f>
        <v>6.54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65.0233333333333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1445.55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1435.21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202.8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59.22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65.0233333333333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3207.80333333333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160.39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336.82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71.29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328.37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216.04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1112.91</v>
      </c>
    </row>
    <row r="120" customFormat="false" ht="15.75" hidden="false" customHeight="true" outlineLevel="0" collapsed="false">
      <c r="A120" s="198"/>
      <c r="B120" s="199"/>
      <c r="C120" s="199"/>
      <c r="D120" s="199"/>
      <c r="E120" s="199"/>
      <c r="F120" s="199"/>
      <c r="G120" s="199"/>
      <c r="H120" s="200"/>
      <c r="I120" s="201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3705.01333333333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4320.72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615.706666666666</v>
      </c>
    </row>
    <row r="129" customFormat="false" ht="15.75" hidden="false" customHeight="true" outlineLevel="0" collapsed="false">
      <c r="A129" s="169"/>
      <c r="B129" s="179"/>
      <c r="H129" s="171"/>
      <c r="I129" s="172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47" t="n">
        <f aca="false">I29</f>
        <v>1445.55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47" t="n">
        <f aca="false">I62</f>
        <v>1435.21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47" t="n">
        <f aca="false">I73</f>
        <v>202.8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47" t="n">
        <f aca="false">I96</f>
        <v>59.22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47" t="n">
        <f aca="false">I104</f>
        <v>65.0233333333333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3207.80333333333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47" t="n">
        <f aca="false">I119</f>
        <v>1112.91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4320.71333333333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3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0" man="true" max="16383" min="0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97"/>
  <sheetViews>
    <sheetView showFormulas="false" showGridLines="true" showRowColHeaders="true" showZeros="true" rightToLeft="false" tabSelected="false" showOutlineSymbols="true" defaultGridColor="true" view="pageBreakPreview" topLeftCell="A26" colorId="64" zoomScale="80" zoomScaleNormal="100" zoomScalePageLayoutView="80" workbookViewId="0">
      <selection pane="topLeft" activeCell="A57" activeCellId="0" sqref="A57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0.89"/>
    <col collapsed="false" customWidth="true" hidden="false" outlineLevel="0" max="4" min="3" style="1" width="14.88"/>
    <col collapsed="false" customWidth="true" hidden="false" outlineLevel="0" max="5" min="5" style="1" width="12.44"/>
    <col collapsed="false" customWidth="true" hidden="false" outlineLevel="0" max="6" min="6" style="1" width="10.45"/>
    <col collapsed="false" customWidth="true" hidden="false" outlineLevel="0" max="7" min="7" style="1" width="14.66"/>
    <col collapsed="false" customWidth="true" hidden="false" outlineLevel="0" max="8" min="8" style="1" width="17.33"/>
    <col collapsed="false" customWidth="true" hidden="false" outlineLevel="0" max="9" min="9" style="1" width="28.57"/>
    <col collapsed="false" customWidth="true" hidden="false" outlineLevel="0" max="10" min="10" style="1" width="7.11"/>
    <col collapsed="false" customWidth="true" hidden="false" outlineLevel="0" max="1025" min="11" style="1" width="14.43"/>
  </cols>
  <sheetData>
    <row r="1" customFormat="false" ht="14.4" hidden="false" customHeight="false" outlineLevel="0" collapsed="false">
      <c r="A1" s="129" t="s">
        <v>473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29"/>
      <c r="B2" s="129"/>
      <c r="C2" s="129"/>
      <c r="D2" s="129"/>
      <c r="E2" s="129"/>
      <c r="F2" s="129"/>
      <c r="G2" s="129"/>
      <c r="H2" s="129"/>
      <c r="I2" s="129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2.75" hidden="false" customHeight="tru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85"/>
    </row>
    <row r="15" customFormat="false" ht="23.8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461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/>
      <c r="I25" s="144" t="n">
        <v>0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1445.55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120.41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174.91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295.32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1445.55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295.32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1740.87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348.17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43.52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104.45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26.11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17.41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10.45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3.48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139.27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692.86</v>
      </c>
    </row>
    <row r="49" customFormat="false" ht="9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447.03</v>
      </c>
    </row>
    <row r="56" customFormat="false" ht="9.9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295.32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692.86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1435.21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1445.55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1435.21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2880.76</v>
      </c>
    </row>
    <row r="66" customFormat="false" ht="27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29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12.1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0.86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53.29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21.32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115.23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202.8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1445.55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1435.21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202.8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3083.56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28.68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17.27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0.93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10.18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2.16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59.22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59.22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59.22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MATERIAIS!F62</f>
        <v>0.89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EPIS!F8</f>
        <v>11.7733333333333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UNIFORMES!G31</f>
        <v>45.82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EQUIPAMENTOS'!I45</f>
        <v>6.54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65.0233333333333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1445.55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1435.21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202.8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59.22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65.0233333333333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3207.80333333333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160.39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336.82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71.29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328.37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216.04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1112.91</v>
      </c>
    </row>
    <row r="120" customFormat="false" ht="15.75" hidden="false" customHeight="true" outlineLevel="0" collapsed="false">
      <c r="A120" s="198"/>
      <c r="B120" s="199"/>
      <c r="C120" s="199"/>
      <c r="D120" s="199"/>
      <c r="E120" s="199"/>
      <c r="F120" s="199"/>
      <c r="G120" s="199"/>
      <c r="H120" s="200"/>
      <c r="I120" s="201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3705.01333333333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4320.72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615.706666666666</v>
      </c>
    </row>
    <row r="129" customFormat="false" ht="15.75" hidden="false" customHeight="true" outlineLevel="0" collapsed="false">
      <c r="A129" s="169"/>
      <c r="B129" s="179"/>
      <c r="H129" s="171"/>
      <c r="I129" s="172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47" t="n">
        <f aca="false">I29</f>
        <v>1445.55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47" t="n">
        <f aca="false">I62</f>
        <v>1435.21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47" t="n">
        <f aca="false">I73</f>
        <v>202.8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47" t="n">
        <f aca="false">I96</f>
        <v>59.22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47" t="n">
        <f aca="false">I104</f>
        <v>65.0233333333333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3207.80333333333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47" t="n">
        <f aca="false">I119</f>
        <v>1112.91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4320.71333333333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3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0" man="true" max="16383" min="0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97"/>
  <sheetViews>
    <sheetView showFormulas="false" showGridLines="true" showRowColHeaders="true" showZeros="true" rightToLeft="false" tabSelected="false" showOutlineSymbols="true" defaultGridColor="true" view="pageBreakPreview" topLeftCell="A30" colorId="64" zoomScale="80" zoomScaleNormal="100" zoomScalePageLayoutView="80" workbookViewId="0">
      <selection pane="topLeft" activeCell="I60" activeCellId="0" sqref="I60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0.89"/>
    <col collapsed="false" customWidth="true" hidden="false" outlineLevel="0" max="4" min="3" style="1" width="14.88"/>
    <col collapsed="false" customWidth="true" hidden="false" outlineLevel="0" max="5" min="5" style="1" width="12.44"/>
    <col collapsed="false" customWidth="true" hidden="false" outlineLevel="0" max="6" min="6" style="1" width="10.45"/>
    <col collapsed="false" customWidth="true" hidden="false" outlineLevel="0" max="7" min="7" style="1" width="14.66"/>
    <col collapsed="false" customWidth="true" hidden="false" outlineLevel="0" max="8" min="8" style="1" width="17.33"/>
    <col collapsed="false" customWidth="true" hidden="false" outlineLevel="0" max="9" min="9" style="1" width="28.57"/>
    <col collapsed="false" customWidth="true" hidden="false" outlineLevel="0" max="10" min="10" style="1" width="7.11"/>
    <col collapsed="false" customWidth="true" hidden="false" outlineLevel="0" max="1025" min="11" style="1" width="14.43"/>
  </cols>
  <sheetData>
    <row r="1" customFormat="false" ht="14.4" hidden="false" customHeight="false" outlineLevel="0" collapsed="false">
      <c r="A1" s="129" t="s">
        <v>474</v>
      </c>
      <c r="B1" s="129"/>
      <c r="C1" s="129"/>
      <c r="D1" s="129"/>
      <c r="E1" s="129"/>
      <c r="F1" s="129"/>
      <c r="G1" s="129"/>
      <c r="H1" s="129"/>
      <c r="I1" s="129"/>
    </row>
    <row r="2" customFormat="false" ht="14.4" hidden="false" customHeight="false" outlineLevel="0" collapsed="false">
      <c r="A2" s="129"/>
      <c r="B2" s="129"/>
      <c r="C2" s="129"/>
      <c r="D2" s="129"/>
      <c r="E2" s="129"/>
      <c r="F2" s="129"/>
      <c r="G2" s="129"/>
      <c r="H2" s="129"/>
      <c r="I2" s="129"/>
    </row>
    <row r="3" customFormat="false" ht="14.4" hidden="false" customHeight="false" outlineLevel="0" collapsed="false">
      <c r="A3" s="129" t="s">
        <v>313</v>
      </c>
      <c r="B3" s="129"/>
      <c r="C3" s="129"/>
      <c r="D3" s="129"/>
      <c r="E3" s="129"/>
      <c r="F3" s="129"/>
      <c r="G3" s="129"/>
      <c r="H3" s="131" t="s">
        <v>314</v>
      </c>
      <c r="I3" s="131"/>
    </row>
    <row r="4" customFormat="false" ht="14.4" hidden="false" customHeight="false" outlineLevel="0" collapsed="false">
      <c r="A4" s="129"/>
      <c r="B4" s="129"/>
      <c r="C4" s="129"/>
      <c r="D4" s="129"/>
      <c r="E4" s="129"/>
      <c r="F4" s="129"/>
      <c r="G4" s="129"/>
      <c r="H4" s="129"/>
      <c r="I4" s="129"/>
    </row>
    <row r="5" customFormat="false" ht="14.4" hidden="false" customHeight="false" outlineLevel="0" collapsed="false">
      <c r="A5" s="132" t="s">
        <v>315</v>
      </c>
      <c r="B5" s="132"/>
      <c r="C5" s="132"/>
      <c r="D5" s="132"/>
      <c r="E5" s="132"/>
      <c r="F5" s="132"/>
      <c r="G5" s="132"/>
      <c r="H5" s="132"/>
      <c r="I5" s="132"/>
    </row>
    <row r="6" customFormat="false" ht="14.4" hidden="false" customHeight="false" outlineLevel="0" collapsed="false">
      <c r="A6" s="131" t="s">
        <v>316</v>
      </c>
      <c r="B6" s="133" t="s">
        <v>317</v>
      </c>
      <c r="C6" s="133"/>
      <c r="D6" s="133"/>
      <c r="E6" s="133"/>
      <c r="F6" s="133"/>
      <c r="G6" s="133"/>
      <c r="H6" s="133"/>
      <c r="I6" s="134"/>
    </row>
    <row r="7" customFormat="false" ht="14.4" hidden="false" customHeight="false" outlineLevel="0" collapsed="false">
      <c r="A7" s="131" t="s">
        <v>318</v>
      </c>
      <c r="B7" s="133" t="s">
        <v>319</v>
      </c>
      <c r="C7" s="133"/>
      <c r="D7" s="133"/>
      <c r="E7" s="133"/>
      <c r="F7" s="133"/>
      <c r="G7" s="133"/>
      <c r="H7" s="133"/>
      <c r="I7" s="131" t="s">
        <v>320</v>
      </c>
    </row>
    <row r="8" customFormat="false" ht="14.4" hidden="false" customHeight="false" outlineLevel="0" collapsed="false">
      <c r="A8" s="131" t="s">
        <v>321</v>
      </c>
      <c r="B8" s="133" t="s">
        <v>322</v>
      </c>
      <c r="C8" s="133"/>
      <c r="D8" s="133"/>
      <c r="E8" s="133"/>
      <c r="F8" s="133"/>
      <c r="G8" s="133"/>
      <c r="H8" s="133"/>
      <c r="I8" s="131" t="s">
        <v>323</v>
      </c>
    </row>
    <row r="9" customFormat="false" ht="14.4" hidden="false" customHeight="false" outlineLevel="0" collapsed="false">
      <c r="A9" s="131" t="s">
        <v>324</v>
      </c>
      <c r="B9" s="133" t="s">
        <v>325</v>
      </c>
      <c r="C9" s="133"/>
      <c r="D9" s="133"/>
      <c r="E9" s="133"/>
      <c r="F9" s="133"/>
      <c r="G9" s="133"/>
      <c r="H9" s="133"/>
      <c r="I9" s="131" t="n">
        <v>6</v>
      </c>
    </row>
    <row r="10" customFormat="false" ht="14.4" hidden="false" customHeight="false" outlineLevel="0" collapsed="false">
      <c r="A10" s="135"/>
      <c r="B10" s="135"/>
      <c r="C10" s="135"/>
      <c r="D10" s="135"/>
      <c r="E10" s="135"/>
      <c r="F10" s="135"/>
      <c r="G10" s="135"/>
      <c r="H10" s="135"/>
      <c r="I10" s="135"/>
    </row>
    <row r="11" customFormat="false" ht="12.75" hidden="false" customHeight="true" outlineLevel="0" collapsed="false">
      <c r="A11" s="132" t="s">
        <v>326</v>
      </c>
      <c r="B11" s="132"/>
      <c r="C11" s="132"/>
      <c r="D11" s="132"/>
      <c r="E11" s="132"/>
      <c r="F11" s="132"/>
      <c r="G11" s="132"/>
      <c r="H11" s="132"/>
      <c r="I11" s="132"/>
    </row>
    <row r="12" customFormat="false" ht="14.4" hidden="false" customHeight="false" outlineLevel="0" collapsed="false">
      <c r="A12" s="131" t="s">
        <v>327</v>
      </c>
      <c r="B12" s="131"/>
      <c r="C12" s="131" t="s">
        <v>328</v>
      </c>
      <c r="D12" s="131"/>
      <c r="E12" s="131" t="s">
        <v>329</v>
      </c>
      <c r="F12" s="131"/>
      <c r="G12" s="131"/>
      <c r="H12" s="131"/>
      <c r="I12" s="131"/>
    </row>
    <row r="13" customFormat="false" ht="14.4" hidden="false" customHeight="false" outlineLevel="0" collapsed="false">
      <c r="A13" s="136" t="s">
        <v>330</v>
      </c>
      <c r="B13" s="136"/>
      <c r="C13" s="137" t="s">
        <v>460</v>
      </c>
      <c r="D13" s="137"/>
      <c r="E13" s="131"/>
      <c r="F13" s="131"/>
      <c r="G13" s="131"/>
      <c r="H13" s="131"/>
      <c r="I13" s="131"/>
    </row>
    <row r="14" customFormat="false" ht="14.4" hidden="false" customHeight="false" outlineLevel="0" collapsed="false">
      <c r="A14" s="132" t="s">
        <v>332</v>
      </c>
      <c r="B14" s="132"/>
      <c r="C14" s="132"/>
      <c r="D14" s="132"/>
      <c r="E14" s="132"/>
      <c r="F14" s="132"/>
      <c r="G14" s="132"/>
      <c r="H14" s="132"/>
      <c r="I14" s="132"/>
      <c r="J14" s="185"/>
    </row>
    <row r="15" customFormat="false" ht="23.85" hidden="false" customHeight="false" outlineLevel="0" collapsed="false">
      <c r="A15" s="131" t="n">
        <v>1</v>
      </c>
      <c r="B15" s="133" t="s">
        <v>333</v>
      </c>
      <c r="C15" s="133"/>
      <c r="D15" s="133"/>
      <c r="E15" s="133"/>
      <c r="F15" s="133"/>
      <c r="G15" s="133"/>
      <c r="H15" s="133"/>
      <c r="I15" s="138" t="s">
        <v>461</v>
      </c>
    </row>
    <row r="16" customFormat="false" ht="14.4" hidden="false" customHeight="false" outlineLevel="0" collapsed="false">
      <c r="A16" s="131" t="n">
        <v>2</v>
      </c>
      <c r="B16" s="133" t="s">
        <v>335</v>
      </c>
      <c r="C16" s="133"/>
      <c r="D16" s="133"/>
      <c r="E16" s="133"/>
      <c r="F16" s="133"/>
      <c r="G16" s="133"/>
      <c r="H16" s="133"/>
      <c r="I16" s="131" t="s">
        <v>462</v>
      </c>
    </row>
    <row r="17" customFormat="false" ht="14.4" hidden="false" customHeight="false" outlineLevel="0" collapsed="false">
      <c r="A17" s="131" t="n">
        <v>3</v>
      </c>
      <c r="B17" s="133" t="s">
        <v>337</v>
      </c>
      <c r="C17" s="133"/>
      <c r="D17" s="133"/>
      <c r="E17" s="133"/>
      <c r="F17" s="133"/>
      <c r="G17" s="133"/>
      <c r="H17" s="133"/>
      <c r="I17" s="186" t="n">
        <v>1445.55</v>
      </c>
    </row>
    <row r="18" customFormat="false" ht="35.05" hidden="false" customHeight="false" outlineLevel="0" collapsed="false">
      <c r="A18" s="140" t="n">
        <v>4</v>
      </c>
      <c r="B18" s="141" t="s">
        <v>338</v>
      </c>
      <c r="C18" s="141"/>
      <c r="D18" s="141"/>
      <c r="E18" s="141"/>
      <c r="F18" s="141"/>
      <c r="G18" s="141"/>
      <c r="H18" s="141"/>
      <c r="I18" s="142" t="s">
        <v>339</v>
      </c>
    </row>
    <row r="19" customFormat="false" ht="14.4" hidden="false" customHeight="false" outlineLevel="0" collapsed="false">
      <c r="A19" s="131" t="n">
        <v>5</v>
      </c>
      <c r="B19" s="133" t="s">
        <v>340</v>
      </c>
      <c r="C19" s="133"/>
      <c r="D19" s="133"/>
      <c r="E19" s="133"/>
      <c r="F19" s="133"/>
      <c r="G19" s="133"/>
      <c r="H19" s="133"/>
      <c r="I19" s="134" t="s">
        <v>341</v>
      </c>
    </row>
    <row r="20" customFormat="false" ht="14.4" hidden="false" customHeight="false" outlineLevel="0" collapsed="false">
      <c r="A20" s="143"/>
      <c r="B20" s="143"/>
      <c r="C20" s="143"/>
      <c r="D20" s="143"/>
      <c r="E20" s="143"/>
      <c r="F20" s="143"/>
      <c r="G20" s="143"/>
      <c r="H20" s="143"/>
      <c r="I20" s="143"/>
    </row>
    <row r="21" customFormat="false" ht="15.75" hidden="false" customHeight="true" outlineLevel="0" collapsed="false">
      <c r="A21" s="132" t="s">
        <v>342</v>
      </c>
      <c r="B21" s="132"/>
      <c r="C21" s="132"/>
      <c r="D21" s="132"/>
      <c r="E21" s="132"/>
      <c r="F21" s="132"/>
      <c r="G21" s="132"/>
      <c r="H21" s="132"/>
      <c r="I21" s="132"/>
    </row>
    <row r="22" customFormat="false" ht="15.75" hidden="false" customHeight="true" outlineLevel="0" collapsed="false">
      <c r="A22" s="129" t="n">
        <v>1</v>
      </c>
      <c r="B22" s="132" t="s">
        <v>343</v>
      </c>
      <c r="C22" s="132"/>
      <c r="D22" s="132"/>
      <c r="E22" s="132"/>
      <c r="F22" s="132"/>
      <c r="G22" s="132"/>
      <c r="H22" s="132" t="s">
        <v>344</v>
      </c>
      <c r="I22" s="132" t="s">
        <v>345</v>
      </c>
    </row>
    <row r="23" customFormat="false" ht="15.75" hidden="false" customHeight="true" outlineLevel="0" collapsed="false">
      <c r="A23" s="129" t="s">
        <v>316</v>
      </c>
      <c r="B23" s="133" t="s">
        <v>346</v>
      </c>
      <c r="C23" s="133"/>
      <c r="D23" s="133"/>
      <c r="E23" s="133"/>
      <c r="F23" s="133"/>
      <c r="G23" s="133"/>
      <c r="H23" s="143"/>
      <c r="I23" s="144" t="n">
        <f aca="false">I17</f>
        <v>1445.55</v>
      </c>
    </row>
    <row r="24" customFormat="false" ht="15.75" hidden="false" customHeight="true" outlineLevel="0" collapsed="false">
      <c r="A24" s="129" t="s">
        <v>318</v>
      </c>
      <c r="B24" s="133" t="s">
        <v>347</v>
      </c>
      <c r="C24" s="133"/>
      <c r="D24" s="133"/>
      <c r="E24" s="133"/>
      <c r="F24" s="133"/>
      <c r="G24" s="133"/>
      <c r="H24" s="145"/>
      <c r="I24" s="144" t="n">
        <v>0</v>
      </c>
    </row>
    <row r="25" customFormat="false" ht="15.75" hidden="false" customHeight="true" outlineLevel="0" collapsed="false">
      <c r="A25" s="129" t="s">
        <v>321</v>
      </c>
      <c r="B25" s="133" t="s">
        <v>348</v>
      </c>
      <c r="C25" s="133"/>
      <c r="D25" s="133"/>
      <c r="E25" s="133"/>
      <c r="F25" s="133"/>
      <c r="G25" s="133"/>
      <c r="H25" s="145"/>
      <c r="I25" s="144" t="n">
        <v>0</v>
      </c>
    </row>
    <row r="26" customFormat="false" ht="15.75" hidden="false" customHeight="true" outlineLevel="0" collapsed="false">
      <c r="A26" s="129" t="s">
        <v>324</v>
      </c>
      <c r="B26" s="133" t="s">
        <v>349</v>
      </c>
      <c r="C26" s="133"/>
      <c r="D26" s="133"/>
      <c r="E26" s="133"/>
      <c r="F26" s="133"/>
      <c r="G26" s="133"/>
      <c r="H26" s="145"/>
      <c r="I26" s="144" t="n">
        <v>0</v>
      </c>
    </row>
    <row r="27" customFormat="false" ht="15.75" hidden="false" customHeight="true" outlineLevel="0" collapsed="false">
      <c r="A27" s="129" t="s">
        <v>350</v>
      </c>
      <c r="B27" s="133" t="s">
        <v>351</v>
      </c>
      <c r="C27" s="133"/>
      <c r="D27" s="133"/>
      <c r="E27" s="133"/>
      <c r="F27" s="133"/>
      <c r="G27" s="133"/>
      <c r="H27" s="145"/>
      <c r="I27" s="144" t="n">
        <v>0</v>
      </c>
    </row>
    <row r="28" customFormat="false" ht="15.75" hidden="false" customHeight="true" outlineLevel="0" collapsed="false">
      <c r="A28" s="129" t="s">
        <v>352</v>
      </c>
      <c r="B28" s="133" t="s">
        <v>353</v>
      </c>
      <c r="C28" s="133"/>
      <c r="D28" s="133"/>
      <c r="E28" s="133"/>
      <c r="F28" s="133"/>
      <c r="G28" s="133"/>
      <c r="H28" s="145"/>
      <c r="I28" s="144" t="n">
        <v>0</v>
      </c>
    </row>
    <row r="29" customFormat="false" ht="15.75" hidden="false" customHeight="true" outlineLevel="0" collapsed="false">
      <c r="A29" s="132" t="s">
        <v>354</v>
      </c>
      <c r="B29" s="132"/>
      <c r="C29" s="132"/>
      <c r="D29" s="132"/>
      <c r="E29" s="132"/>
      <c r="F29" s="132"/>
      <c r="G29" s="132"/>
      <c r="H29" s="132"/>
      <c r="I29" s="146" t="n">
        <f aca="false">SUM(I23:I28)</f>
        <v>1445.55</v>
      </c>
    </row>
    <row r="30" customFormat="false" ht="15.75" hidden="false" customHeight="true" outlineLevel="0" collapsed="false">
      <c r="A30" s="130"/>
      <c r="B30" s="130"/>
      <c r="C30" s="130"/>
      <c r="D30" s="130"/>
      <c r="E30" s="130"/>
      <c r="F30" s="130"/>
      <c r="G30" s="130"/>
      <c r="H30" s="130"/>
      <c r="I30" s="130"/>
    </row>
    <row r="31" customFormat="false" ht="15.75" hidden="false" customHeight="true" outlineLevel="0" collapsed="false">
      <c r="A31" s="132" t="s">
        <v>355</v>
      </c>
      <c r="B31" s="132"/>
      <c r="C31" s="132"/>
      <c r="D31" s="132"/>
      <c r="E31" s="132"/>
      <c r="F31" s="132"/>
      <c r="G31" s="132"/>
      <c r="H31" s="132"/>
      <c r="I31" s="132"/>
    </row>
    <row r="32" customFormat="false" ht="15.75" hidden="false" customHeight="true" outlineLevel="0" collapsed="false">
      <c r="A32" s="132" t="s">
        <v>356</v>
      </c>
      <c r="B32" s="132"/>
      <c r="C32" s="132"/>
      <c r="D32" s="132"/>
      <c r="E32" s="132"/>
      <c r="F32" s="132"/>
      <c r="G32" s="132"/>
      <c r="H32" s="132" t="s">
        <v>344</v>
      </c>
      <c r="I32" s="132" t="s">
        <v>345</v>
      </c>
    </row>
    <row r="33" customFormat="false" ht="15.75" hidden="false" customHeight="true" outlineLevel="0" collapsed="false">
      <c r="A33" s="129" t="s">
        <v>316</v>
      </c>
      <c r="B33" s="133" t="s">
        <v>357</v>
      </c>
      <c r="C33" s="133"/>
      <c r="D33" s="133"/>
      <c r="E33" s="133"/>
      <c r="F33" s="133"/>
      <c r="G33" s="133"/>
      <c r="H33" s="145" t="n">
        <f aca="false">ROUND(1/12,4)</f>
        <v>0.0833</v>
      </c>
      <c r="I33" s="147" t="n">
        <f aca="false">ROUND(I29*H33,2)</f>
        <v>120.41</v>
      </c>
    </row>
    <row r="34" customFormat="false" ht="15.75" hidden="false" customHeight="true" outlineLevel="0" collapsed="false">
      <c r="A34" s="129" t="s">
        <v>318</v>
      </c>
      <c r="B34" s="133" t="s">
        <v>358</v>
      </c>
      <c r="C34" s="133"/>
      <c r="D34" s="133"/>
      <c r="E34" s="133"/>
      <c r="F34" s="133"/>
      <c r="G34" s="133"/>
      <c r="H34" s="145" t="n">
        <v>0.121</v>
      </c>
      <c r="I34" s="147" t="n">
        <f aca="false">ROUND(I29*H34,2)</f>
        <v>174.91</v>
      </c>
    </row>
    <row r="35" customFormat="false" ht="15.75" hidden="false" customHeight="true" outlineLevel="0" collapsed="false">
      <c r="A35" s="132" t="s">
        <v>359</v>
      </c>
      <c r="B35" s="132"/>
      <c r="C35" s="132"/>
      <c r="D35" s="132"/>
      <c r="E35" s="132"/>
      <c r="F35" s="132"/>
      <c r="G35" s="132"/>
      <c r="H35" s="148" t="n">
        <f aca="false">SUM(H33:H34)</f>
        <v>0.2043</v>
      </c>
      <c r="I35" s="146" t="n">
        <f aca="false">SUM(I33:I34)</f>
        <v>295.32</v>
      </c>
    </row>
    <row r="36" customFormat="false" ht="15.75" hidden="false" customHeight="true" outlineLevel="0" collapsed="false">
      <c r="A36" s="149" t="s">
        <v>360</v>
      </c>
      <c r="B36" s="149"/>
      <c r="C36" s="149"/>
      <c r="D36" s="149"/>
      <c r="E36" s="149"/>
      <c r="F36" s="149"/>
      <c r="G36" s="150" t="s">
        <v>361</v>
      </c>
      <c r="H36" s="150"/>
      <c r="I36" s="151" t="n">
        <f aca="false">I29</f>
        <v>1445.55</v>
      </c>
    </row>
    <row r="37" customFormat="false" ht="15.75" hidden="false" customHeight="true" outlineLevel="0" collapsed="false">
      <c r="A37" s="149"/>
      <c r="B37" s="149"/>
      <c r="C37" s="149"/>
      <c r="D37" s="149"/>
      <c r="E37" s="149"/>
      <c r="F37" s="149"/>
      <c r="G37" s="150" t="s">
        <v>362</v>
      </c>
      <c r="H37" s="150"/>
      <c r="I37" s="151" t="n">
        <f aca="false">I35</f>
        <v>295.32</v>
      </c>
    </row>
    <row r="38" customFormat="false" ht="15.75" hidden="false" customHeight="true" outlineLevel="0" collapsed="false">
      <c r="A38" s="149"/>
      <c r="B38" s="149"/>
      <c r="C38" s="149"/>
      <c r="D38" s="149"/>
      <c r="E38" s="149"/>
      <c r="F38" s="149"/>
      <c r="G38" s="152" t="s">
        <v>363</v>
      </c>
      <c r="H38" s="152"/>
      <c r="I38" s="153" t="n">
        <f aca="false">SUM(I36:I37)</f>
        <v>1740.87</v>
      </c>
    </row>
    <row r="39" customFormat="false" ht="15.75" hidden="false" customHeight="true" outlineLevel="0" collapsed="false">
      <c r="A39" s="132" t="s">
        <v>364</v>
      </c>
      <c r="B39" s="132"/>
      <c r="C39" s="132"/>
      <c r="D39" s="132"/>
      <c r="E39" s="132"/>
      <c r="F39" s="132"/>
      <c r="G39" s="132"/>
      <c r="H39" s="132" t="s">
        <v>344</v>
      </c>
      <c r="I39" s="132" t="s">
        <v>345</v>
      </c>
    </row>
    <row r="40" customFormat="false" ht="15.75" hidden="false" customHeight="true" outlineLevel="0" collapsed="false">
      <c r="A40" s="129" t="s">
        <v>316</v>
      </c>
      <c r="B40" s="133" t="s">
        <v>365</v>
      </c>
      <c r="C40" s="133"/>
      <c r="D40" s="133"/>
      <c r="E40" s="133"/>
      <c r="F40" s="133"/>
      <c r="G40" s="133"/>
      <c r="H40" s="145" t="n">
        <v>0.2</v>
      </c>
      <c r="I40" s="147" t="n">
        <f aca="false">ROUND($I$38*H40,2)</f>
        <v>348.17</v>
      </c>
    </row>
    <row r="41" customFormat="false" ht="15.75" hidden="false" customHeight="true" outlineLevel="0" collapsed="false">
      <c r="A41" s="129" t="s">
        <v>318</v>
      </c>
      <c r="B41" s="133" t="s">
        <v>366</v>
      </c>
      <c r="C41" s="133"/>
      <c r="D41" s="133"/>
      <c r="E41" s="133"/>
      <c r="F41" s="133"/>
      <c r="G41" s="133"/>
      <c r="H41" s="145" t="n">
        <v>0.025</v>
      </c>
      <c r="I41" s="147" t="n">
        <f aca="false">ROUND($I$38*H41,2)</f>
        <v>43.52</v>
      </c>
    </row>
    <row r="42" customFormat="false" ht="15.75" hidden="false" customHeight="true" outlineLevel="0" collapsed="false">
      <c r="A42" s="129" t="s">
        <v>321</v>
      </c>
      <c r="B42" s="133" t="s">
        <v>367</v>
      </c>
      <c r="C42" s="133"/>
      <c r="D42" s="133"/>
      <c r="E42" s="133"/>
      <c r="F42" s="133"/>
      <c r="G42" s="133"/>
      <c r="H42" s="145" t="n">
        <v>0.06</v>
      </c>
      <c r="I42" s="147" t="n">
        <f aca="false">ROUND($I$38*H42,2)</f>
        <v>104.45</v>
      </c>
    </row>
    <row r="43" customFormat="false" ht="15.75" hidden="false" customHeight="true" outlineLevel="0" collapsed="false">
      <c r="A43" s="129" t="s">
        <v>324</v>
      </c>
      <c r="B43" s="133" t="s">
        <v>368</v>
      </c>
      <c r="C43" s="133"/>
      <c r="D43" s="133"/>
      <c r="E43" s="133"/>
      <c r="F43" s="133"/>
      <c r="G43" s="133"/>
      <c r="H43" s="145" t="n">
        <v>0.015</v>
      </c>
      <c r="I43" s="147" t="n">
        <f aca="false">ROUND($I$38*H43,2)</f>
        <v>26.11</v>
      </c>
    </row>
    <row r="44" customFormat="false" ht="15.75" hidden="false" customHeight="true" outlineLevel="0" collapsed="false">
      <c r="A44" s="129" t="s">
        <v>350</v>
      </c>
      <c r="B44" s="133" t="s">
        <v>369</v>
      </c>
      <c r="C44" s="133"/>
      <c r="D44" s="133"/>
      <c r="E44" s="133"/>
      <c r="F44" s="133"/>
      <c r="G44" s="133"/>
      <c r="H44" s="145" t="n">
        <v>0.01</v>
      </c>
      <c r="I44" s="147" t="n">
        <f aca="false">ROUND($I$38*H44,2)</f>
        <v>17.41</v>
      </c>
    </row>
    <row r="45" customFormat="false" ht="15.75" hidden="false" customHeight="true" outlineLevel="0" collapsed="false">
      <c r="A45" s="129" t="s">
        <v>352</v>
      </c>
      <c r="B45" s="133" t="s">
        <v>370</v>
      </c>
      <c r="C45" s="133"/>
      <c r="D45" s="133"/>
      <c r="E45" s="133"/>
      <c r="F45" s="133"/>
      <c r="G45" s="133"/>
      <c r="H45" s="145" t="n">
        <v>0.006</v>
      </c>
      <c r="I45" s="147" t="n">
        <f aca="false">ROUND($I$38*H45,2)</f>
        <v>10.45</v>
      </c>
    </row>
    <row r="46" customFormat="false" ht="15.75" hidden="false" customHeight="true" outlineLevel="0" collapsed="false">
      <c r="A46" s="129" t="s">
        <v>371</v>
      </c>
      <c r="B46" s="133" t="s">
        <v>372</v>
      </c>
      <c r="C46" s="133"/>
      <c r="D46" s="133"/>
      <c r="E46" s="133"/>
      <c r="F46" s="133"/>
      <c r="G46" s="133"/>
      <c r="H46" s="145" t="n">
        <v>0.002</v>
      </c>
      <c r="I46" s="147" t="n">
        <f aca="false">ROUND($I$38*H46,2)</f>
        <v>3.48</v>
      </c>
    </row>
    <row r="47" customFormat="false" ht="15.75" hidden="false" customHeight="true" outlineLevel="0" collapsed="false">
      <c r="A47" s="129" t="s">
        <v>373</v>
      </c>
      <c r="B47" s="133" t="s">
        <v>374</v>
      </c>
      <c r="C47" s="133"/>
      <c r="D47" s="133"/>
      <c r="E47" s="133"/>
      <c r="F47" s="133"/>
      <c r="G47" s="133"/>
      <c r="H47" s="145" t="n">
        <v>0.08</v>
      </c>
      <c r="I47" s="147" t="n">
        <f aca="false">ROUND($I$38*H47,2)</f>
        <v>139.27</v>
      </c>
    </row>
    <row r="48" customFormat="false" ht="15.75" hidden="false" customHeight="true" outlineLevel="0" collapsed="false">
      <c r="A48" s="132" t="s">
        <v>375</v>
      </c>
      <c r="B48" s="132"/>
      <c r="C48" s="132"/>
      <c r="D48" s="132"/>
      <c r="E48" s="132"/>
      <c r="F48" s="132"/>
      <c r="G48" s="132"/>
      <c r="H48" s="148" t="n">
        <f aca="false">SUM(H40:H47)</f>
        <v>0.398</v>
      </c>
      <c r="I48" s="146" t="n">
        <f aca="false">SUM(I40:I47)</f>
        <v>692.86</v>
      </c>
    </row>
    <row r="49" customFormat="false" ht="15.75" hidden="false" customHeight="true" outlineLevel="0" collapsed="false">
      <c r="A49" s="154"/>
      <c r="B49" s="154"/>
      <c r="C49" s="154"/>
      <c r="D49" s="154"/>
      <c r="E49" s="154"/>
      <c r="F49" s="154"/>
      <c r="G49" s="154"/>
      <c r="H49" s="154"/>
      <c r="I49" s="154"/>
    </row>
    <row r="50" customFormat="false" ht="15.75" hidden="false" customHeight="true" outlineLevel="0" collapsed="false">
      <c r="A50" s="132" t="s">
        <v>376</v>
      </c>
      <c r="B50" s="132"/>
      <c r="C50" s="132"/>
      <c r="D50" s="132"/>
      <c r="E50" s="132"/>
      <c r="F50" s="132"/>
      <c r="G50" s="132"/>
      <c r="H50" s="148"/>
      <c r="I50" s="132" t="s">
        <v>345</v>
      </c>
    </row>
    <row r="51" customFormat="false" ht="15.75" hidden="false" customHeight="true" outlineLevel="0" collapsed="false">
      <c r="A51" s="129" t="s">
        <v>316</v>
      </c>
      <c r="B51" s="143" t="s">
        <v>377</v>
      </c>
      <c r="C51" s="143"/>
      <c r="D51" s="143"/>
      <c r="E51" s="143"/>
      <c r="F51" s="143"/>
      <c r="G51" s="143"/>
      <c r="H51" s="155" t="s">
        <v>301</v>
      </c>
      <c r="I51" s="144" t="n">
        <v>0</v>
      </c>
    </row>
    <row r="52" customFormat="false" ht="15.75" hidden="false" customHeight="true" outlineLevel="0" collapsed="false">
      <c r="A52" s="129" t="s">
        <v>318</v>
      </c>
      <c r="B52" s="143" t="s">
        <v>378</v>
      </c>
      <c r="C52" s="143"/>
      <c r="D52" s="143"/>
      <c r="E52" s="143"/>
      <c r="F52" s="143"/>
      <c r="G52" s="143"/>
      <c r="H52" s="131" t="s">
        <v>301</v>
      </c>
      <c r="I52" s="144" t="n">
        <v>440.77</v>
      </c>
    </row>
    <row r="53" customFormat="false" ht="15.75" hidden="false" customHeight="true" outlineLevel="0" collapsed="false">
      <c r="A53" s="129" t="s">
        <v>321</v>
      </c>
      <c r="B53" s="143" t="s">
        <v>379</v>
      </c>
      <c r="C53" s="143"/>
      <c r="D53" s="143"/>
      <c r="E53" s="143"/>
      <c r="F53" s="143"/>
      <c r="G53" s="143"/>
      <c r="H53" s="131" t="s">
        <v>301</v>
      </c>
      <c r="I53" s="144" t="n">
        <v>0</v>
      </c>
    </row>
    <row r="54" customFormat="false" ht="15.75" hidden="false" customHeight="true" outlineLevel="0" collapsed="false">
      <c r="A54" s="129" t="s">
        <v>324</v>
      </c>
      <c r="B54" s="143" t="s">
        <v>380</v>
      </c>
      <c r="C54" s="143"/>
      <c r="D54" s="143"/>
      <c r="E54" s="143"/>
      <c r="F54" s="143"/>
      <c r="G54" s="143"/>
      <c r="H54" s="131" t="s">
        <v>301</v>
      </c>
      <c r="I54" s="144" t="n">
        <f aca="false">ROUND((I23*26)*0.002/12,2)</f>
        <v>6.26</v>
      </c>
    </row>
    <row r="55" customFormat="false" ht="15.75" hidden="false" customHeight="true" outlineLevel="0" collapsed="false">
      <c r="A55" s="132" t="s">
        <v>381</v>
      </c>
      <c r="B55" s="132"/>
      <c r="C55" s="132"/>
      <c r="D55" s="132"/>
      <c r="E55" s="132"/>
      <c r="F55" s="132"/>
      <c r="G55" s="132"/>
      <c r="H55" s="132"/>
      <c r="I55" s="146" t="n">
        <f aca="false">SUM(I51:I54)</f>
        <v>447.03</v>
      </c>
    </row>
    <row r="56" customFormat="false" ht="15.75" hidden="false" customHeight="tru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</row>
    <row r="57" customFormat="false" ht="15.75" hidden="false" customHeight="true" outlineLevel="0" collapsed="false">
      <c r="A57" s="132" t="s">
        <v>382</v>
      </c>
      <c r="B57" s="132"/>
      <c r="C57" s="132"/>
      <c r="D57" s="132"/>
      <c r="E57" s="132"/>
      <c r="F57" s="132"/>
      <c r="G57" s="132"/>
      <c r="H57" s="132"/>
      <c r="I57" s="132"/>
    </row>
    <row r="58" customFormat="false" ht="15.75" hidden="false" customHeight="true" outlineLevel="0" collapsed="false">
      <c r="A58" s="132" t="s">
        <v>383</v>
      </c>
      <c r="B58" s="132"/>
      <c r="C58" s="132"/>
      <c r="D58" s="132"/>
      <c r="E58" s="132"/>
      <c r="F58" s="132"/>
      <c r="G58" s="132"/>
      <c r="H58" s="132"/>
      <c r="I58" s="132" t="s">
        <v>345</v>
      </c>
    </row>
    <row r="59" customFormat="false" ht="15.75" hidden="false" customHeight="true" outlineLevel="0" collapsed="false">
      <c r="A59" s="129" t="s">
        <v>213</v>
      </c>
      <c r="B59" s="133" t="s">
        <v>384</v>
      </c>
      <c r="C59" s="133"/>
      <c r="D59" s="133"/>
      <c r="E59" s="133"/>
      <c r="F59" s="133"/>
      <c r="G59" s="133"/>
      <c r="H59" s="133"/>
      <c r="I59" s="147" t="n">
        <f aca="false">I35</f>
        <v>295.32</v>
      </c>
    </row>
    <row r="60" customFormat="false" ht="15.75" hidden="false" customHeight="true" outlineLevel="0" collapsed="false">
      <c r="A60" s="129" t="s">
        <v>243</v>
      </c>
      <c r="B60" s="133" t="s">
        <v>385</v>
      </c>
      <c r="C60" s="133"/>
      <c r="D60" s="133"/>
      <c r="E60" s="133"/>
      <c r="F60" s="133"/>
      <c r="G60" s="133"/>
      <c r="H60" s="133"/>
      <c r="I60" s="147" t="n">
        <f aca="false">I48</f>
        <v>692.86</v>
      </c>
    </row>
    <row r="61" customFormat="false" ht="15.75" hidden="false" customHeight="true" outlineLevel="0" collapsed="false">
      <c r="A61" s="129" t="s">
        <v>255</v>
      </c>
      <c r="B61" s="133" t="s">
        <v>386</v>
      </c>
      <c r="C61" s="133"/>
      <c r="D61" s="133"/>
      <c r="E61" s="133"/>
      <c r="F61" s="133"/>
      <c r="G61" s="133"/>
      <c r="H61" s="133"/>
      <c r="I61" s="147" t="n">
        <f aca="false">I55</f>
        <v>447.03</v>
      </c>
    </row>
    <row r="62" customFormat="false" ht="15.75" hidden="false" customHeight="true" outlineLevel="0" collapsed="false">
      <c r="A62" s="132" t="s">
        <v>387</v>
      </c>
      <c r="B62" s="132"/>
      <c r="C62" s="132"/>
      <c r="D62" s="132"/>
      <c r="E62" s="132"/>
      <c r="F62" s="132"/>
      <c r="G62" s="132"/>
      <c r="H62" s="132"/>
      <c r="I62" s="146" t="n">
        <f aca="false">SUM(I59:I61)</f>
        <v>1435.21</v>
      </c>
    </row>
    <row r="63" customFormat="false" ht="15.75" hidden="false" customHeight="true" outlineLevel="0" collapsed="false">
      <c r="A63" s="156" t="s">
        <v>388</v>
      </c>
      <c r="B63" s="156"/>
      <c r="C63" s="156"/>
      <c r="D63" s="156"/>
      <c r="E63" s="156"/>
      <c r="F63" s="156"/>
      <c r="G63" s="150" t="s">
        <v>361</v>
      </c>
      <c r="H63" s="150"/>
      <c r="I63" s="151" t="n">
        <f aca="false">I29</f>
        <v>1445.55</v>
      </c>
    </row>
    <row r="64" customFormat="false" ht="15.75" hidden="false" customHeight="true" outlineLevel="0" collapsed="false">
      <c r="A64" s="156"/>
      <c r="B64" s="156"/>
      <c r="C64" s="156"/>
      <c r="D64" s="156"/>
      <c r="E64" s="156"/>
      <c r="F64" s="156"/>
      <c r="G64" s="150" t="s">
        <v>389</v>
      </c>
      <c r="H64" s="150"/>
      <c r="I64" s="151" t="n">
        <f aca="false">I62</f>
        <v>1435.21</v>
      </c>
    </row>
    <row r="65" customFormat="false" ht="15.75" hidden="false" customHeight="true" outlineLevel="0" collapsed="false">
      <c r="A65" s="156"/>
      <c r="B65" s="156"/>
      <c r="C65" s="156"/>
      <c r="D65" s="156"/>
      <c r="E65" s="156"/>
      <c r="F65" s="156"/>
      <c r="G65" s="152" t="s">
        <v>363</v>
      </c>
      <c r="H65" s="152"/>
      <c r="I65" s="153" t="n">
        <f aca="false">SUM(I63:I64)</f>
        <v>2880.76</v>
      </c>
    </row>
    <row r="66" customFormat="false" ht="27.75" hidden="false" customHeight="true" outlineLevel="0" collapsed="false">
      <c r="A66" s="132" t="s">
        <v>390</v>
      </c>
      <c r="B66" s="132"/>
      <c r="C66" s="132"/>
      <c r="D66" s="132"/>
      <c r="E66" s="132"/>
      <c r="F66" s="132"/>
      <c r="G66" s="132"/>
      <c r="H66" s="132"/>
      <c r="I66" s="132"/>
    </row>
    <row r="67" customFormat="false" ht="15.75" hidden="false" customHeight="true" outlineLevel="0" collapsed="false">
      <c r="A67" s="129" t="n">
        <v>3</v>
      </c>
      <c r="B67" s="132" t="s">
        <v>391</v>
      </c>
      <c r="C67" s="132"/>
      <c r="D67" s="132"/>
      <c r="E67" s="132"/>
      <c r="F67" s="132"/>
      <c r="G67" s="132"/>
      <c r="H67" s="132" t="s">
        <v>344</v>
      </c>
      <c r="I67" s="132" t="s">
        <v>345</v>
      </c>
    </row>
    <row r="68" customFormat="false" ht="15.75" hidden="false" customHeight="true" outlineLevel="0" collapsed="false">
      <c r="A68" s="129" t="s">
        <v>316</v>
      </c>
      <c r="B68" s="133" t="s">
        <v>392</v>
      </c>
      <c r="C68" s="133"/>
      <c r="D68" s="133"/>
      <c r="E68" s="133"/>
      <c r="F68" s="133"/>
      <c r="G68" s="133"/>
      <c r="H68" s="145" t="n">
        <f aca="false">ROUND(((1/12)*5%),4)</f>
        <v>0.0042</v>
      </c>
      <c r="I68" s="147" t="n">
        <f aca="false">ROUND(H68*$I$65,2)</f>
        <v>12.1</v>
      </c>
    </row>
    <row r="69" customFormat="false" ht="15.75" hidden="false" customHeight="true" outlineLevel="0" collapsed="false">
      <c r="A69" s="129" t="s">
        <v>318</v>
      </c>
      <c r="B69" s="133" t="s">
        <v>393</v>
      </c>
      <c r="C69" s="133"/>
      <c r="D69" s="133"/>
      <c r="E69" s="133"/>
      <c r="F69" s="133"/>
      <c r="G69" s="133"/>
      <c r="H69" s="145" t="n">
        <f aca="false">TRUNC(H68*H47,4)</f>
        <v>0.0003</v>
      </c>
      <c r="I69" s="147" t="n">
        <f aca="false">ROUND(H69*$I$65,2)</f>
        <v>0.86</v>
      </c>
    </row>
    <row r="70" customFormat="false" ht="15.75" hidden="false" customHeight="true" outlineLevel="0" collapsed="false">
      <c r="A70" s="129" t="s">
        <v>321</v>
      </c>
      <c r="B70" s="133" t="s">
        <v>394</v>
      </c>
      <c r="C70" s="133"/>
      <c r="D70" s="133"/>
      <c r="E70" s="133"/>
      <c r="F70" s="133"/>
      <c r="G70" s="133"/>
      <c r="H70" s="145" t="n">
        <f aca="false">ROUND(((7/30)/12)*95%,4)</f>
        <v>0.0185</v>
      </c>
      <c r="I70" s="147" t="n">
        <f aca="false">ROUND(H70*$I$65,2)</f>
        <v>53.29</v>
      </c>
    </row>
    <row r="71" customFormat="false" ht="15.75" hidden="false" customHeight="true" outlineLevel="0" collapsed="false">
      <c r="A71" s="129" t="s">
        <v>324</v>
      </c>
      <c r="B71" s="158" t="s">
        <v>395</v>
      </c>
      <c r="C71" s="158"/>
      <c r="D71" s="158"/>
      <c r="E71" s="158"/>
      <c r="F71" s="158"/>
      <c r="G71" s="158"/>
      <c r="H71" s="145" t="n">
        <f aca="false">ROUND(H70*H48,4)</f>
        <v>0.0074</v>
      </c>
      <c r="I71" s="147" t="n">
        <f aca="false">ROUND(H71*$I$65,2)</f>
        <v>21.32</v>
      </c>
    </row>
    <row r="72" customFormat="false" ht="15.75" hidden="false" customHeight="true" outlineLevel="0" collapsed="false">
      <c r="A72" s="129" t="s">
        <v>350</v>
      </c>
      <c r="B72" s="133" t="s">
        <v>396</v>
      </c>
      <c r="C72" s="133"/>
      <c r="D72" s="133"/>
      <c r="E72" s="133"/>
      <c r="F72" s="133"/>
      <c r="G72" s="133"/>
      <c r="H72" s="145" t="n">
        <v>0.04</v>
      </c>
      <c r="I72" s="147" t="n">
        <f aca="false">ROUND(H72*$I$65,2)</f>
        <v>115.23</v>
      </c>
    </row>
    <row r="73" customFormat="false" ht="15.75" hidden="false" customHeight="true" outlineLevel="0" collapsed="false">
      <c r="A73" s="132" t="s">
        <v>397</v>
      </c>
      <c r="B73" s="132"/>
      <c r="C73" s="132"/>
      <c r="D73" s="132"/>
      <c r="E73" s="132"/>
      <c r="F73" s="132"/>
      <c r="G73" s="132"/>
      <c r="H73" s="148" t="n">
        <f aca="false">SUM(H68:H72)</f>
        <v>0.0704</v>
      </c>
      <c r="I73" s="146" t="n">
        <f aca="false">SUM(I68:I72)</f>
        <v>202.8</v>
      </c>
    </row>
    <row r="74" customFormat="false" ht="15.75" hidden="false" customHeight="true" outlineLevel="0" collapsed="false">
      <c r="A74" s="159" t="s">
        <v>398</v>
      </c>
      <c r="B74" s="159"/>
      <c r="C74" s="159"/>
      <c r="D74" s="159"/>
      <c r="E74" s="159"/>
      <c r="F74" s="159"/>
      <c r="G74" s="150" t="s">
        <v>361</v>
      </c>
      <c r="H74" s="150"/>
      <c r="I74" s="151" t="n">
        <f aca="false">I29</f>
        <v>1445.55</v>
      </c>
    </row>
    <row r="75" customFormat="false" ht="15.75" hidden="false" customHeight="true" outlineLevel="0" collapsed="false">
      <c r="A75" s="159"/>
      <c r="B75" s="159"/>
      <c r="C75" s="159"/>
      <c r="D75" s="159"/>
      <c r="E75" s="159"/>
      <c r="F75" s="159"/>
      <c r="G75" s="150" t="s">
        <v>389</v>
      </c>
      <c r="H75" s="150"/>
      <c r="I75" s="151" t="n">
        <f aca="false">I62</f>
        <v>1435.21</v>
      </c>
    </row>
    <row r="76" customFormat="false" ht="15.75" hidden="false" customHeight="true" outlineLevel="0" collapsed="false">
      <c r="A76" s="159"/>
      <c r="B76" s="159"/>
      <c r="C76" s="159"/>
      <c r="D76" s="159"/>
      <c r="E76" s="159"/>
      <c r="F76" s="159"/>
      <c r="G76" s="150" t="s">
        <v>399</v>
      </c>
      <c r="H76" s="150"/>
      <c r="I76" s="151" t="n">
        <f aca="false">I73</f>
        <v>202.8</v>
      </c>
    </row>
    <row r="77" customFormat="false" ht="15.75" hidden="false" customHeight="true" outlineLevel="0" collapsed="false">
      <c r="A77" s="159"/>
      <c r="B77" s="159"/>
      <c r="C77" s="159"/>
      <c r="D77" s="159"/>
      <c r="E77" s="159"/>
      <c r="F77" s="159"/>
      <c r="G77" s="152" t="s">
        <v>363</v>
      </c>
      <c r="H77" s="152"/>
      <c r="I77" s="153" t="n">
        <f aca="false">SUM(I74:I76)</f>
        <v>3083.56</v>
      </c>
    </row>
    <row r="78" customFormat="false" ht="15.75" hidden="false" customHeight="true" outlineLevel="0" collapsed="false">
      <c r="A78" s="132" t="s">
        <v>400</v>
      </c>
      <c r="B78" s="132"/>
      <c r="C78" s="132"/>
      <c r="D78" s="132"/>
      <c r="E78" s="132"/>
      <c r="F78" s="132"/>
      <c r="G78" s="132"/>
      <c r="H78" s="132"/>
      <c r="I78" s="132"/>
    </row>
    <row r="79" customFormat="false" ht="15.75" hidden="false" customHeight="true" outlineLevel="0" collapsed="false">
      <c r="A79" s="132" t="s">
        <v>401</v>
      </c>
      <c r="B79" s="132"/>
      <c r="C79" s="132"/>
      <c r="D79" s="132"/>
      <c r="E79" s="132"/>
      <c r="F79" s="132"/>
      <c r="G79" s="132"/>
      <c r="H79" s="132" t="s">
        <v>344</v>
      </c>
      <c r="I79" s="132" t="s">
        <v>345</v>
      </c>
    </row>
    <row r="80" customFormat="false" ht="15.75" hidden="false" customHeight="true" outlineLevel="0" collapsed="false">
      <c r="A80" s="129" t="s">
        <v>316</v>
      </c>
      <c r="B80" s="133" t="s">
        <v>402</v>
      </c>
      <c r="C80" s="133"/>
      <c r="D80" s="133"/>
      <c r="E80" s="133"/>
      <c r="F80" s="133"/>
      <c r="G80" s="133"/>
      <c r="H80" s="145" t="n">
        <f aca="false">ROUND(((1+1/3)/12)/12,4)</f>
        <v>0.0093</v>
      </c>
      <c r="I80" s="147" t="n">
        <f aca="false">ROUND(H80*$I$77,2)</f>
        <v>28.68</v>
      </c>
    </row>
    <row r="81" customFormat="false" ht="15.75" hidden="false" customHeight="true" outlineLevel="0" collapsed="false">
      <c r="A81" s="129" t="s">
        <v>318</v>
      </c>
      <c r="B81" s="133" t="s">
        <v>403</v>
      </c>
      <c r="C81" s="133"/>
      <c r="D81" s="133"/>
      <c r="E81" s="133"/>
      <c r="F81" s="133"/>
      <c r="G81" s="133"/>
      <c r="H81" s="145" t="n">
        <f aca="false">ROUND(2/30/12,4)</f>
        <v>0.0056</v>
      </c>
      <c r="I81" s="147" t="n">
        <f aca="false">ROUND(H81*$I$77,2)</f>
        <v>17.27</v>
      </c>
    </row>
    <row r="82" customFormat="false" ht="15.75" hidden="false" customHeight="true" outlineLevel="0" collapsed="false">
      <c r="A82" s="129" t="s">
        <v>321</v>
      </c>
      <c r="B82" s="133" t="s">
        <v>404</v>
      </c>
      <c r="C82" s="133"/>
      <c r="D82" s="133"/>
      <c r="E82" s="133"/>
      <c r="F82" s="133"/>
      <c r="G82" s="133"/>
      <c r="H82" s="145" t="n">
        <f aca="false">ROUND(((5/30)/12)*2%,4)</f>
        <v>0.0003</v>
      </c>
      <c r="I82" s="147" t="n">
        <f aca="false">ROUND(H82*$I$77,2)</f>
        <v>0.93</v>
      </c>
    </row>
    <row r="83" customFormat="false" ht="15.75" hidden="false" customHeight="true" outlineLevel="0" collapsed="false">
      <c r="A83" s="129" t="s">
        <v>324</v>
      </c>
      <c r="B83" s="133" t="s">
        <v>405</v>
      </c>
      <c r="C83" s="133"/>
      <c r="D83" s="133"/>
      <c r="E83" s="133"/>
      <c r="F83" s="133"/>
      <c r="G83" s="133"/>
      <c r="H83" s="145" t="n">
        <f aca="false">ROUND(((15/30)/12)*8%,4)</f>
        <v>0.0033</v>
      </c>
      <c r="I83" s="147" t="n">
        <f aca="false">ROUND(H83*$I$77,2)</f>
        <v>10.18</v>
      </c>
    </row>
    <row r="84" customFormat="false" ht="15.75" hidden="false" customHeight="true" outlineLevel="0" collapsed="false">
      <c r="A84" s="129" t="s">
        <v>350</v>
      </c>
      <c r="B84" s="133" t="s">
        <v>406</v>
      </c>
      <c r="C84" s="133"/>
      <c r="D84" s="133"/>
      <c r="E84" s="133"/>
      <c r="F84" s="133"/>
      <c r="G84" s="133"/>
      <c r="H84" s="145" t="n">
        <f aca="false">ROUND(((1+1/3)/12*4/12)*2%,4)</f>
        <v>0.0007</v>
      </c>
      <c r="I84" s="147" t="n">
        <f aca="false">ROUND(H84*$I$77,2)</f>
        <v>2.16</v>
      </c>
    </row>
    <row r="85" customFormat="false" ht="15.75" hidden="false" customHeight="true" outlineLevel="0" collapsed="false">
      <c r="A85" s="129" t="s">
        <v>352</v>
      </c>
      <c r="B85" s="133" t="s">
        <v>407</v>
      </c>
      <c r="C85" s="133"/>
      <c r="D85" s="133"/>
      <c r="E85" s="133"/>
      <c r="F85" s="133"/>
      <c r="G85" s="133"/>
      <c r="H85" s="145" t="n">
        <v>0</v>
      </c>
      <c r="I85" s="147" t="n">
        <f aca="false">ROUND(H85*$I$77,2)</f>
        <v>0</v>
      </c>
    </row>
    <row r="86" customFormat="false" ht="15.75" hidden="false" customHeight="true" outlineLevel="0" collapsed="false">
      <c r="A86" s="132" t="s">
        <v>408</v>
      </c>
      <c r="B86" s="132"/>
      <c r="C86" s="132"/>
      <c r="D86" s="132"/>
      <c r="E86" s="132"/>
      <c r="F86" s="132"/>
      <c r="G86" s="132"/>
      <c r="H86" s="148" t="n">
        <f aca="false">SUM(H80:H85)</f>
        <v>0.0192</v>
      </c>
      <c r="I86" s="146" t="n">
        <f aca="false">SUM(I80:I85)</f>
        <v>59.22</v>
      </c>
    </row>
    <row r="87" customFormat="false" ht="15.75" hidden="false" customHeight="tru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</row>
    <row r="88" customFormat="false" ht="15.75" hidden="false" customHeight="true" outlineLevel="0" collapsed="false">
      <c r="A88" s="132" t="s">
        <v>409</v>
      </c>
      <c r="B88" s="132"/>
      <c r="C88" s="132"/>
      <c r="D88" s="132"/>
      <c r="E88" s="132"/>
      <c r="F88" s="132"/>
      <c r="G88" s="132"/>
      <c r="H88" s="132" t="s">
        <v>344</v>
      </c>
      <c r="I88" s="132" t="s">
        <v>345</v>
      </c>
    </row>
    <row r="89" customFormat="false" ht="15.75" hidden="false" customHeight="true" outlineLevel="0" collapsed="false">
      <c r="A89" s="129" t="s">
        <v>316</v>
      </c>
      <c r="B89" s="133" t="s">
        <v>410</v>
      </c>
      <c r="C89" s="133"/>
      <c r="D89" s="133"/>
      <c r="E89" s="133"/>
      <c r="F89" s="133"/>
      <c r="G89" s="133"/>
      <c r="H89" s="145" t="n">
        <v>0</v>
      </c>
      <c r="I89" s="147" t="n">
        <f aca="false">I29*H89</f>
        <v>0</v>
      </c>
    </row>
    <row r="90" customFormat="false" ht="15.75" hidden="false" customHeight="true" outlineLevel="0" collapsed="false">
      <c r="A90" s="132" t="s">
        <v>411</v>
      </c>
      <c r="B90" s="132"/>
      <c r="C90" s="132"/>
      <c r="D90" s="132"/>
      <c r="E90" s="132"/>
      <c r="F90" s="132"/>
      <c r="G90" s="132"/>
      <c r="H90" s="148" t="n">
        <f aca="false">H89</f>
        <v>0</v>
      </c>
      <c r="I90" s="146" t="n">
        <f aca="false">I89</f>
        <v>0</v>
      </c>
    </row>
    <row r="91" customFormat="false" ht="15.75" hidden="false" customHeight="tru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</row>
    <row r="92" customFormat="false" ht="15.75" hidden="false" customHeight="true" outlineLevel="0" collapsed="false">
      <c r="A92" s="132" t="s">
        <v>412</v>
      </c>
      <c r="B92" s="132"/>
      <c r="C92" s="132"/>
      <c r="D92" s="132"/>
      <c r="E92" s="132"/>
      <c r="F92" s="132"/>
      <c r="G92" s="132"/>
      <c r="H92" s="132"/>
      <c r="I92" s="132"/>
    </row>
    <row r="93" customFormat="false" ht="15.75" hidden="false" customHeight="true" outlineLevel="0" collapsed="false">
      <c r="A93" s="132" t="s">
        <v>413</v>
      </c>
      <c r="B93" s="132"/>
      <c r="C93" s="132"/>
      <c r="D93" s="132"/>
      <c r="E93" s="132"/>
      <c r="F93" s="132"/>
      <c r="G93" s="132"/>
      <c r="H93" s="132"/>
      <c r="I93" s="132" t="s">
        <v>345</v>
      </c>
    </row>
    <row r="94" customFormat="false" ht="15.75" hidden="false" customHeight="true" outlineLevel="0" collapsed="false">
      <c r="A94" s="129" t="s">
        <v>414</v>
      </c>
      <c r="B94" s="133" t="s">
        <v>415</v>
      </c>
      <c r="C94" s="133"/>
      <c r="D94" s="133"/>
      <c r="E94" s="133"/>
      <c r="F94" s="133"/>
      <c r="G94" s="133"/>
      <c r="H94" s="133"/>
      <c r="I94" s="147" t="n">
        <f aca="false">I86</f>
        <v>59.22</v>
      </c>
    </row>
    <row r="95" customFormat="false" ht="15.75" hidden="false" customHeight="true" outlineLevel="0" collapsed="false">
      <c r="A95" s="129" t="s">
        <v>416</v>
      </c>
      <c r="B95" s="133" t="s">
        <v>417</v>
      </c>
      <c r="C95" s="133"/>
      <c r="D95" s="133"/>
      <c r="E95" s="133"/>
      <c r="F95" s="133"/>
      <c r="G95" s="133"/>
      <c r="H95" s="133"/>
      <c r="I95" s="147" t="n">
        <f aca="false">I90</f>
        <v>0</v>
      </c>
    </row>
    <row r="96" customFormat="false" ht="15.75" hidden="false" customHeight="true" outlineLevel="0" collapsed="false">
      <c r="A96" s="132" t="s">
        <v>418</v>
      </c>
      <c r="B96" s="132"/>
      <c r="C96" s="132"/>
      <c r="D96" s="132"/>
      <c r="E96" s="132"/>
      <c r="F96" s="132"/>
      <c r="G96" s="132"/>
      <c r="H96" s="132"/>
      <c r="I96" s="146" t="n">
        <f aca="false">SUM(I94:I95)</f>
        <v>59.22</v>
      </c>
    </row>
    <row r="97" customFormat="false" ht="15.75" hidden="false" customHeight="tru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</row>
    <row r="98" customFormat="false" ht="15.75" hidden="false" customHeight="true" outlineLevel="0" collapsed="false">
      <c r="A98" s="132" t="s">
        <v>419</v>
      </c>
      <c r="B98" s="132"/>
      <c r="C98" s="132"/>
      <c r="D98" s="132"/>
      <c r="E98" s="132"/>
      <c r="F98" s="132"/>
      <c r="G98" s="132"/>
      <c r="H98" s="132"/>
      <c r="I98" s="132"/>
    </row>
    <row r="99" customFormat="false" ht="15.75" hidden="false" customHeight="true" outlineLevel="0" collapsed="false">
      <c r="A99" s="132" t="n">
        <v>5</v>
      </c>
      <c r="B99" s="132" t="s">
        <v>420</v>
      </c>
      <c r="C99" s="132"/>
      <c r="D99" s="132"/>
      <c r="E99" s="132"/>
      <c r="F99" s="132"/>
      <c r="G99" s="132"/>
      <c r="H99" s="132"/>
      <c r="I99" s="132" t="s">
        <v>345</v>
      </c>
    </row>
    <row r="100" customFormat="false" ht="15.75" hidden="false" customHeight="true" outlineLevel="0" collapsed="false">
      <c r="A100" s="160" t="s">
        <v>316</v>
      </c>
      <c r="B100" s="143" t="s">
        <v>421</v>
      </c>
      <c r="C100" s="143"/>
      <c r="D100" s="143"/>
      <c r="E100" s="143"/>
      <c r="F100" s="143"/>
      <c r="G100" s="143"/>
      <c r="H100" s="161" t="s">
        <v>301</v>
      </c>
      <c r="I100" s="147" t="n">
        <f aca="false">MATERIAIS!F62</f>
        <v>0.89</v>
      </c>
    </row>
    <row r="101" customFormat="false" ht="15.75" hidden="false" customHeight="true" outlineLevel="0" collapsed="false">
      <c r="A101" s="160" t="s">
        <v>318</v>
      </c>
      <c r="B101" s="143" t="s">
        <v>422</v>
      </c>
      <c r="C101" s="143"/>
      <c r="D101" s="143"/>
      <c r="E101" s="143"/>
      <c r="F101" s="143"/>
      <c r="G101" s="143"/>
      <c r="H101" s="161" t="s">
        <v>301</v>
      </c>
      <c r="I101" s="147" t="n">
        <f aca="false">EPIS!F8</f>
        <v>11.7733333333333</v>
      </c>
    </row>
    <row r="102" customFormat="false" ht="15.75" hidden="false" customHeight="true" outlineLevel="0" collapsed="false">
      <c r="A102" s="160" t="s">
        <v>321</v>
      </c>
      <c r="B102" s="143" t="s">
        <v>423</v>
      </c>
      <c r="C102" s="143"/>
      <c r="D102" s="143"/>
      <c r="E102" s="143"/>
      <c r="F102" s="143"/>
      <c r="G102" s="143"/>
      <c r="H102" s="161" t="s">
        <v>301</v>
      </c>
      <c r="I102" s="147" t="n">
        <f aca="false">UNIFORMES!G31</f>
        <v>45.82</v>
      </c>
    </row>
    <row r="103" customFormat="false" ht="15.75" hidden="false" customHeight="true" outlineLevel="0" collapsed="false">
      <c r="A103" s="160" t="s">
        <v>324</v>
      </c>
      <c r="B103" s="143" t="s">
        <v>424</v>
      </c>
      <c r="C103" s="143"/>
      <c r="D103" s="143"/>
      <c r="E103" s="143"/>
      <c r="F103" s="143"/>
      <c r="G103" s="143"/>
      <c r="H103" s="162" t="s">
        <v>301</v>
      </c>
      <c r="I103" s="147" t="n">
        <f aca="false">'FERRAMENTAS E EQUIPAMENTOS'!I45</f>
        <v>6.54</v>
      </c>
    </row>
    <row r="104" customFormat="false" ht="15.75" hidden="false" customHeight="true" outlineLevel="0" collapsed="false">
      <c r="A104" s="132" t="s">
        <v>425</v>
      </c>
      <c r="B104" s="132"/>
      <c r="C104" s="132"/>
      <c r="D104" s="132"/>
      <c r="E104" s="132"/>
      <c r="F104" s="132"/>
      <c r="G104" s="132"/>
      <c r="H104" s="148" t="s">
        <v>301</v>
      </c>
      <c r="I104" s="146" t="n">
        <f aca="false">SUM(I100:I103)</f>
        <v>65.0233333333333</v>
      </c>
    </row>
    <row r="105" customFormat="false" ht="15.75" hidden="false" customHeight="true" outlineLevel="0" collapsed="false">
      <c r="A105" s="159" t="s">
        <v>426</v>
      </c>
      <c r="B105" s="159"/>
      <c r="C105" s="159"/>
      <c r="D105" s="159"/>
      <c r="E105" s="159"/>
      <c r="F105" s="159"/>
      <c r="G105" s="150" t="s">
        <v>361</v>
      </c>
      <c r="H105" s="150"/>
      <c r="I105" s="151" t="n">
        <f aca="false">I29</f>
        <v>1445.55</v>
      </c>
    </row>
    <row r="106" customFormat="false" ht="15.75" hidden="false" customHeight="true" outlineLevel="0" collapsed="false">
      <c r="A106" s="159"/>
      <c r="B106" s="159"/>
      <c r="C106" s="159"/>
      <c r="D106" s="159"/>
      <c r="E106" s="159"/>
      <c r="F106" s="159"/>
      <c r="G106" s="150" t="s">
        <v>389</v>
      </c>
      <c r="H106" s="150"/>
      <c r="I106" s="151" t="n">
        <f aca="false">I62</f>
        <v>1435.21</v>
      </c>
    </row>
    <row r="107" customFormat="false" ht="15.75" hidden="false" customHeight="true" outlineLevel="0" collapsed="false">
      <c r="A107" s="159"/>
      <c r="B107" s="159"/>
      <c r="C107" s="159"/>
      <c r="D107" s="159"/>
      <c r="E107" s="159"/>
      <c r="F107" s="159"/>
      <c r="G107" s="150" t="s">
        <v>399</v>
      </c>
      <c r="H107" s="150"/>
      <c r="I107" s="151" t="n">
        <f aca="false">I73</f>
        <v>202.8</v>
      </c>
    </row>
    <row r="108" customFormat="false" ht="15.75" hidden="false" customHeight="true" outlineLevel="0" collapsed="false">
      <c r="A108" s="159"/>
      <c r="B108" s="159"/>
      <c r="C108" s="159"/>
      <c r="D108" s="159"/>
      <c r="E108" s="159"/>
      <c r="F108" s="159"/>
      <c r="G108" s="150" t="s">
        <v>427</v>
      </c>
      <c r="H108" s="150"/>
      <c r="I108" s="151" t="n">
        <f aca="false">I96</f>
        <v>59.22</v>
      </c>
    </row>
    <row r="109" customFormat="false" ht="15.75" hidden="false" customHeight="true" outlineLevel="0" collapsed="false">
      <c r="A109" s="159"/>
      <c r="B109" s="159"/>
      <c r="C109" s="159"/>
      <c r="D109" s="159"/>
      <c r="E109" s="159"/>
      <c r="F109" s="159"/>
      <c r="G109" s="150" t="s">
        <v>428</v>
      </c>
      <c r="H109" s="150"/>
      <c r="I109" s="151" t="n">
        <f aca="false">I104</f>
        <v>65.0233333333333</v>
      </c>
    </row>
    <row r="110" customFormat="false" ht="15.75" hidden="false" customHeight="true" outlineLevel="0" collapsed="false">
      <c r="A110" s="159"/>
      <c r="B110" s="159"/>
      <c r="C110" s="159"/>
      <c r="D110" s="159"/>
      <c r="E110" s="159"/>
      <c r="F110" s="159"/>
      <c r="G110" s="152" t="s">
        <v>363</v>
      </c>
      <c r="H110" s="152"/>
      <c r="I110" s="153" t="n">
        <f aca="false">SUM(I105:I109)</f>
        <v>3207.80333333333</v>
      </c>
    </row>
    <row r="111" customFormat="false" ht="15.75" hidden="false" customHeight="true" outlineLevel="0" collapsed="false">
      <c r="A111" s="132" t="s">
        <v>429</v>
      </c>
      <c r="B111" s="132"/>
      <c r="C111" s="132"/>
      <c r="D111" s="132"/>
      <c r="E111" s="132"/>
      <c r="F111" s="132"/>
      <c r="G111" s="132"/>
      <c r="H111" s="132"/>
      <c r="I111" s="132"/>
    </row>
    <row r="112" customFormat="false" ht="15.75" hidden="false" customHeight="true" outlineLevel="0" collapsed="false">
      <c r="A112" s="132" t="n">
        <v>6</v>
      </c>
      <c r="B112" s="132" t="s">
        <v>430</v>
      </c>
      <c r="C112" s="132"/>
      <c r="D112" s="132"/>
      <c r="E112" s="132"/>
      <c r="F112" s="132"/>
      <c r="G112" s="132"/>
      <c r="H112" s="132" t="s">
        <v>344</v>
      </c>
      <c r="I112" s="132" t="s">
        <v>345</v>
      </c>
    </row>
    <row r="113" customFormat="false" ht="15.75" hidden="false" customHeight="true" outlineLevel="0" collapsed="false">
      <c r="A113" s="129" t="s">
        <v>316</v>
      </c>
      <c r="B113" s="133" t="s">
        <v>431</v>
      </c>
      <c r="C113" s="133"/>
      <c r="D113" s="133"/>
      <c r="E113" s="133"/>
      <c r="F113" s="133"/>
      <c r="G113" s="133"/>
      <c r="H113" s="163" t="n">
        <v>0.05</v>
      </c>
      <c r="I113" s="147" t="n">
        <f aca="false">ROUND(H113*I110,2)</f>
        <v>160.39</v>
      </c>
    </row>
    <row r="114" customFormat="false" ht="15.75" hidden="false" customHeight="true" outlineLevel="0" collapsed="false">
      <c r="A114" s="129" t="s">
        <v>318</v>
      </c>
      <c r="B114" s="133" t="s">
        <v>432</v>
      </c>
      <c r="C114" s="133"/>
      <c r="D114" s="133"/>
      <c r="E114" s="133"/>
      <c r="F114" s="133"/>
      <c r="G114" s="133"/>
      <c r="H114" s="163" t="n">
        <v>0.1</v>
      </c>
      <c r="I114" s="147" t="n">
        <f aca="false">ROUND(H114*(I110+I113),2)</f>
        <v>336.82</v>
      </c>
    </row>
    <row r="115" customFormat="false" ht="15.75" hidden="false" customHeight="true" outlineLevel="0" collapsed="false">
      <c r="A115" s="129" t="s">
        <v>321</v>
      </c>
      <c r="B115" s="164" t="s">
        <v>433</v>
      </c>
      <c r="C115" s="164"/>
      <c r="D115" s="164"/>
      <c r="E115" s="164"/>
      <c r="F115" s="164"/>
      <c r="G115" s="164"/>
      <c r="H115" s="145"/>
      <c r="I115" s="165"/>
    </row>
    <row r="116" customFormat="false" ht="15.75" hidden="false" customHeight="true" outlineLevel="0" collapsed="false">
      <c r="A116" s="129" t="s">
        <v>434</v>
      </c>
      <c r="B116" s="133" t="s">
        <v>435</v>
      </c>
      <c r="C116" s="133"/>
      <c r="D116" s="133"/>
      <c r="E116" s="133"/>
      <c r="F116" s="133"/>
      <c r="G116" s="133"/>
      <c r="H116" s="163" t="n">
        <v>0.0165</v>
      </c>
      <c r="I116" s="147" t="n">
        <f aca="false">ROUND($I$126*H116,2)</f>
        <v>71.29</v>
      </c>
    </row>
    <row r="117" customFormat="false" ht="15.75" hidden="false" customHeight="true" outlineLevel="0" collapsed="false">
      <c r="A117" s="129" t="s">
        <v>436</v>
      </c>
      <c r="B117" s="133" t="s">
        <v>437</v>
      </c>
      <c r="C117" s="133"/>
      <c r="D117" s="133"/>
      <c r="E117" s="133"/>
      <c r="F117" s="133"/>
      <c r="G117" s="133"/>
      <c r="H117" s="166" t="n">
        <v>0.076</v>
      </c>
      <c r="I117" s="147" t="n">
        <f aca="false">ROUND($I$126*H117,2)</f>
        <v>328.37</v>
      </c>
    </row>
    <row r="118" customFormat="false" ht="15.75" hidden="false" customHeight="true" outlineLevel="0" collapsed="false">
      <c r="A118" s="129" t="s">
        <v>438</v>
      </c>
      <c r="B118" s="133" t="s">
        <v>439</v>
      </c>
      <c r="C118" s="133"/>
      <c r="D118" s="133"/>
      <c r="E118" s="133"/>
      <c r="F118" s="133"/>
      <c r="G118" s="133"/>
      <c r="H118" s="167" t="n">
        <v>0.05</v>
      </c>
      <c r="I118" s="147" t="n">
        <f aca="false">ROUND($I$126*H118,2)</f>
        <v>216.04</v>
      </c>
    </row>
    <row r="119" customFormat="false" ht="15.75" hidden="false" customHeight="true" outlineLevel="0" collapsed="false">
      <c r="A119" s="132" t="s">
        <v>440</v>
      </c>
      <c r="B119" s="132"/>
      <c r="C119" s="132"/>
      <c r="D119" s="132"/>
      <c r="E119" s="132"/>
      <c r="F119" s="132"/>
      <c r="G119" s="132"/>
      <c r="H119" s="168" t="n">
        <f aca="false">SUM(H113:H118)</f>
        <v>0.2925</v>
      </c>
      <c r="I119" s="146" t="n">
        <f aca="false">SUM(I113:I118)</f>
        <v>1112.91</v>
      </c>
    </row>
    <row r="120" customFormat="false" ht="9.9" hidden="false" customHeight="true" outlineLevel="0" collapsed="false">
      <c r="A120" s="198"/>
      <c r="B120" s="199"/>
      <c r="C120" s="199"/>
      <c r="D120" s="199"/>
      <c r="E120" s="199"/>
      <c r="F120" s="199"/>
      <c r="G120" s="199"/>
      <c r="H120" s="200"/>
      <c r="I120" s="201"/>
    </row>
    <row r="121" customFormat="false" ht="15.75" hidden="false" customHeight="true" outlineLevel="0" collapsed="false">
      <c r="A121" s="169" t="s">
        <v>441</v>
      </c>
      <c r="B121" s="170" t="s">
        <v>442</v>
      </c>
      <c r="C121" s="170"/>
      <c r="D121" s="170"/>
      <c r="E121" s="170"/>
      <c r="F121" s="170"/>
      <c r="G121" s="170"/>
      <c r="H121" s="171" t="n">
        <f aca="false">SUM(H116+H117+H118)</f>
        <v>0.1425</v>
      </c>
      <c r="I121" s="172"/>
    </row>
    <row r="122" customFormat="false" ht="15.75" hidden="false" customHeight="true" outlineLevel="0" collapsed="false">
      <c r="A122" s="169"/>
      <c r="B122" s="170" t="n">
        <v>100</v>
      </c>
      <c r="C122" s="170"/>
      <c r="D122" s="170"/>
      <c r="E122" s="170"/>
      <c r="F122" s="170"/>
      <c r="G122" s="170"/>
      <c r="H122" s="171"/>
      <c r="I122" s="172"/>
    </row>
    <row r="123" customFormat="false" ht="15.75" hidden="false" customHeight="true" outlineLevel="0" collapsed="false">
      <c r="A123" s="173"/>
      <c r="B123" s="174"/>
      <c r="C123" s="174"/>
      <c r="D123" s="174"/>
      <c r="E123" s="174"/>
      <c r="F123" s="174"/>
      <c r="G123" s="174"/>
      <c r="H123" s="174"/>
      <c r="I123" s="175"/>
    </row>
    <row r="124" customFormat="false" ht="15.75" hidden="false" customHeight="true" outlineLevel="0" collapsed="false">
      <c r="A124" s="169" t="s">
        <v>443</v>
      </c>
      <c r="B124" s="170" t="s">
        <v>444</v>
      </c>
      <c r="C124" s="170"/>
      <c r="D124" s="170"/>
      <c r="E124" s="170"/>
      <c r="F124" s="170"/>
      <c r="G124" s="170"/>
      <c r="H124" s="171"/>
      <c r="I124" s="172" t="n">
        <f aca="false">I110+I113+I114</f>
        <v>3705.01333333333</v>
      </c>
    </row>
    <row r="125" customFormat="false" ht="15.75" hidden="false" customHeight="true" outlineLevel="0" collapsed="false">
      <c r="A125" s="176"/>
      <c r="B125" s="177"/>
      <c r="C125" s="177"/>
      <c r="D125" s="177"/>
      <c r="E125" s="177"/>
      <c r="F125" s="177"/>
      <c r="G125" s="177"/>
      <c r="H125" s="177"/>
      <c r="I125" s="178"/>
    </row>
    <row r="126" customFormat="false" ht="15.75" hidden="false" customHeight="true" outlineLevel="0" collapsed="false">
      <c r="A126" s="169" t="s">
        <v>445</v>
      </c>
      <c r="B126" s="170" t="s">
        <v>446</v>
      </c>
      <c r="C126" s="170"/>
      <c r="D126" s="170"/>
      <c r="E126" s="170"/>
      <c r="F126" s="170"/>
      <c r="G126" s="170"/>
      <c r="H126" s="171"/>
      <c r="I126" s="172" t="n">
        <f aca="false">ROUND(I124/(1-H121),2)</f>
        <v>4320.72</v>
      </c>
    </row>
    <row r="127" customFormat="false" ht="15.75" hidden="false" customHeight="true" outlineLevel="0" collapsed="false">
      <c r="A127" s="169"/>
      <c r="B127" s="179"/>
      <c r="C127" s="179"/>
      <c r="D127" s="179"/>
      <c r="E127" s="179"/>
      <c r="F127" s="179"/>
      <c r="G127" s="179"/>
      <c r="H127" s="171"/>
      <c r="I127" s="172"/>
    </row>
    <row r="128" customFormat="false" ht="15.75" hidden="false" customHeight="true" outlineLevel="0" collapsed="false">
      <c r="A128" s="169"/>
      <c r="B128" s="170" t="s">
        <v>447</v>
      </c>
      <c r="C128" s="170"/>
      <c r="D128" s="170"/>
      <c r="E128" s="170"/>
      <c r="F128" s="170"/>
      <c r="G128" s="170"/>
      <c r="H128" s="171"/>
      <c r="I128" s="172" t="n">
        <f aca="false">I126-I124</f>
        <v>615.706666666666</v>
      </c>
    </row>
    <row r="129" customFormat="false" ht="12" hidden="false" customHeight="true" outlineLevel="0" collapsed="false">
      <c r="A129" s="169"/>
      <c r="B129" s="179"/>
      <c r="H129" s="171"/>
      <c r="I129" s="172"/>
    </row>
    <row r="130" customFormat="false" ht="15.75" hidden="false" customHeight="true" outlineLevel="0" collapsed="false">
      <c r="A130" s="132" t="s">
        <v>448</v>
      </c>
      <c r="B130" s="132"/>
      <c r="C130" s="132"/>
      <c r="D130" s="132"/>
      <c r="E130" s="132"/>
      <c r="F130" s="132"/>
      <c r="G130" s="132"/>
      <c r="H130" s="132"/>
      <c r="I130" s="132"/>
    </row>
    <row r="131" customFormat="false" ht="15.75" hidden="false" customHeight="true" outlineLevel="0" collapsed="false">
      <c r="A131" s="132" t="s">
        <v>449</v>
      </c>
      <c r="B131" s="132"/>
      <c r="C131" s="132"/>
      <c r="D131" s="132"/>
      <c r="E131" s="132"/>
      <c r="F131" s="132"/>
      <c r="G131" s="132"/>
      <c r="H131" s="132"/>
      <c r="I131" s="132" t="s">
        <v>345</v>
      </c>
    </row>
    <row r="132" customFormat="false" ht="15.75" hidden="false" customHeight="true" outlineLevel="0" collapsed="false">
      <c r="A132" s="131" t="s">
        <v>316</v>
      </c>
      <c r="B132" s="133" t="str">
        <f aca="false">A21</f>
        <v>MÓDULO 1 - COMPOSIÇÃO DA REMUNERAÇÃO</v>
      </c>
      <c r="C132" s="133"/>
      <c r="D132" s="133"/>
      <c r="E132" s="133"/>
      <c r="F132" s="133"/>
      <c r="G132" s="133"/>
      <c r="H132" s="133"/>
      <c r="I132" s="47" t="n">
        <f aca="false">I29</f>
        <v>1445.55</v>
      </c>
    </row>
    <row r="133" customFormat="false" ht="15.75" hidden="false" customHeight="true" outlineLevel="0" collapsed="false">
      <c r="A133" s="131" t="s">
        <v>318</v>
      </c>
      <c r="B133" s="133" t="str">
        <f aca="false">A31</f>
        <v>MÓDULO 2 – ENCARGOS E BENEFÍCIOS ANUAIS, MENSAIS E DIÁRIOS</v>
      </c>
      <c r="C133" s="133"/>
      <c r="D133" s="133"/>
      <c r="E133" s="133"/>
      <c r="F133" s="133"/>
      <c r="G133" s="133"/>
      <c r="H133" s="133"/>
      <c r="I133" s="47" t="n">
        <f aca="false">I62</f>
        <v>1435.21</v>
      </c>
    </row>
    <row r="134" customFormat="false" ht="15.75" hidden="false" customHeight="true" outlineLevel="0" collapsed="false">
      <c r="A134" s="131" t="s">
        <v>321</v>
      </c>
      <c r="B134" s="133" t="str">
        <f aca="false">A66</f>
        <v>MÓDULO 3 – PROVISÃO PARA RESCISÃO</v>
      </c>
      <c r="C134" s="133"/>
      <c r="D134" s="133"/>
      <c r="E134" s="133"/>
      <c r="F134" s="133"/>
      <c r="G134" s="133"/>
      <c r="H134" s="133"/>
      <c r="I134" s="47" t="n">
        <f aca="false">I73</f>
        <v>202.8</v>
      </c>
    </row>
    <row r="135" customFormat="false" ht="15.75" hidden="false" customHeight="true" outlineLevel="0" collapsed="false">
      <c r="A135" s="131" t="s">
        <v>324</v>
      </c>
      <c r="B135" s="133" t="str">
        <f aca="false">A78</f>
        <v>MÓDULO 4 – CUSTO DE REPOSIÇÃO DO PROFISSIONAL AUSENTE</v>
      </c>
      <c r="C135" s="133"/>
      <c r="D135" s="133"/>
      <c r="E135" s="133"/>
      <c r="F135" s="133"/>
      <c r="G135" s="133"/>
      <c r="H135" s="133"/>
      <c r="I135" s="47" t="n">
        <f aca="false">I96</f>
        <v>59.22</v>
      </c>
    </row>
    <row r="136" customFormat="false" ht="15.75" hidden="false" customHeight="true" outlineLevel="0" collapsed="false">
      <c r="A136" s="131" t="s">
        <v>350</v>
      </c>
      <c r="B136" s="133" t="str">
        <f aca="false">A98</f>
        <v>MÓDULO 5 – INSUMOS DIVERSOS</v>
      </c>
      <c r="C136" s="133"/>
      <c r="D136" s="133"/>
      <c r="E136" s="133"/>
      <c r="F136" s="133"/>
      <c r="G136" s="133"/>
      <c r="H136" s="133"/>
      <c r="I136" s="47" t="n">
        <f aca="false">I104</f>
        <v>65.0233333333333</v>
      </c>
    </row>
    <row r="137" customFormat="false" ht="15.75" hidden="false" customHeight="true" outlineLevel="0" collapsed="false">
      <c r="A137" s="132" t="s">
        <v>450</v>
      </c>
      <c r="B137" s="132"/>
      <c r="C137" s="132"/>
      <c r="D137" s="132"/>
      <c r="E137" s="132"/>
      <c r="F137" s="132"/>
      <c r="G137" s="132"/>
      <c r="H137" s="132"/>
      <c r="I137" s="146" t="n">
        <f aca="false">SUM(I132:I136)</f>
        <v>3207.80333333333</v>
      </c>
    </row>
    <row r="138" customFormat="false" ht="15.75" hidden="false" customHeight="true" outlineLevel="0" collapsed="false">
      <c r="A138" s="131" t="s">
        <v>352</v>
      </c>
      <c r="B138" s="133" t="str">
        <f aca="false">A111</f>
        <v>MÓDULO 6 – CUSTOS INDIRETOS, TRIBUTOS E LUCRO</v>
      </c>
      <c r="C138" s="133"/>
      <c r="D138" s="133"/>
      <c r="E138" s="133"/>
      <c r="F138" s="133"/>
      <c r="G138" s="133"/>
      <c r="H138" s="133"/>
      <c r="I138" s="47" t="n">
        <f aca="false">I119</f>
        <v>1112.91</v>
      </c>
    </row>
    <row r="139" customFormat="false" ht="15.75" hidden="false" customHeight="true" outlineLevel="0" collapsed="false">
      <c r="A139" s="132" t="s">
        <v>451</v>
      </c>
      <c r="B139" s="132"/>
      <c r="C139" s="132"/>
      <c r="D139" s="132"/>
      <c r="E139" s="132"/>
      <c r="F139" s="132"/>
      <c r="G139" s="132"/>
      <c r="H139" s="132"/>
      <c r="I139" s="146" t="n">
        <f aca="false">SUM(I137:I138)</f>
        <v>4320.71333333333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3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0" man="true" max="16383" min="0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2"/>
  <sheetViews>
    <sheetView showFormulas="false" showGridLines="true" showRowColHeaders="true" showZeros="true" rightToLeft="false" tabSelected="false" showOutlineSymbols="true" defaultGridColor="true" view="pageBreakPreview" topLeftCell="A31" colorId="64" zoomScale="80" zoomScaleNormal="100" zoomScalePageLayoutView="80" workbookViewId="0">
      <selection pane="topLeft" activeCell="B23" activeCellId="0" sqref="B23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5.21"/>
    <col collapsed="false" customWidth="true" hidden="false" outlineLevel="0" max="2" min="2" style="1" width="78.99"/>
    <col collapsed="false" customWidth="true" hidden="false" outlineLevel="0" max="3" min="3" style="1" width="14.55"/>
    <col collapsed="false" customWidth="true" hidden="false" outlineLevel="0" max="4" min="4" style="1" width="7.67"/>
    <col collapsed="false" customWidth="true" hidden="false" outlineLevel="0" max="5" min="5" style="1" width="10.12"/>
    <col collapsed="false" customWidth="true" hidden="false" outlineLevel="0" max="6" min="6" style="1" width="13.1"/>
    <col collapsed="false" customWidth="true" hidden="false" outlineLevel="0" max="1025" min="7" style="1" width="14.43"/>
  </cols>
  <sheetData>
    <row r="1" customFormat="false" ht="15" hidden="false" customHeight="true" outlineLevel="0" collapsed="false">
      <c r="A1" s="204" t="s">
        <v>475</v>
      </c>
      <c r="B1" s="204"/>
      <c r="C1" s="204"/>
      <c r="D1" s="204"/>
      <c r="E1" s="204"/>
      <c r="F1" s="204"/>
    </row>
    <row r="2" customFormat="false" ht="8.4" hidden="false" customHeight="true" outlineLevel="0" collapsed="false">
      <c r="A2" s="204"/>
      <c r="B2" s="204"/>
      <c r="C2" s="204"/>
      <c r="D2" s="204"/>
      <c r="E2" s="204"/>
      <c r="F2" s="204"/>
    </row>
    <row r="3" customFormat="false" ht="23.85" hidden="false" customHeight="false" outlineLevel="0" collapsed="false">
      <c r="A3" s="205" t="s">
        <v>1</v>
      </c>
      <c r="B3" s="204" t="s">
        <v>2</v>
      </c>
      <c r="C3" s="204" t="s">
        <v>476</v>
      </c>
      <c r="D3" s="205" t="s">
        <v>477</v>
      </c>
      <c r="E3" s="206" t="s">
        <v>478</v>
      </c>
      <c r="F3" s="207" t="s">
        <v>479</v>
      </c>
    </row>
    <row r="4" customFormat="false" ht="57.45" hidden="false" customHeight="false" outlineLevel="0" collapsed="false">
      <c r="A4" s="208" t="s">
        <v>480</v>
      </c>
      <c r="B4" s="209" t="s">
        <v>481</v>
      </c>
      <c r="C4" s="21" t="s">
        <v>482</v>
      </c>
      <c r="D4" s="208" t="n">
        <v>12</v>
      </c>
      <c r="E4" s="210" t="n">
        <v>30.85</v>
      </c>
      <c r="F4" s="210" t="n">
        <f aca="false">E4*D4</f>
        <v>370.2</v>
      </c>
    </row>
    <row r="5" customFormat="false" ht="23.85" hidden="false" customHeight="false" outlineLevel="0" collapsed="false">
      <c r="A5" s="208" t="s">
        <v>483</v>
      </c>
      <c r="B5" s="209" t="s">
        <v>484</v>
      </c>
      <c r="C5" s="21" t="s">
        <v>482</v>
      </c>
      <c r="D5" s="208" t="n">
        <v>6</v>
      </c>
      <c r="E5" s="210" t="n">
        <v>87.78</v>
      </c>
      <c r="F5" s="210" t="n">
        <f aca="false">E5*D5</f>
        <v>526.68</v>
      </c>
    </row>
    <row r="6" customFormat="false" ht="14.4" hidden="false" customHeight="false" outlineLevel="0" collapsed="false">
      <c r="A6" s="208" t="s">
        <v>485</v>
      </c>
      <c r="B6" s="209" t="s">
        <v>486</v>
      </c>
      <c r="C6" s="21" t="s">
        <v>487</v>
      </c>
      <c r="D6" s="208" t="n">
        <v>10</v>
      </c>
      <c r="E6" s="210" t="n">
        <v>5.52</v>
      </c>
      <c r="F6" s="210" t="n">
        <f aca="false">E6*D6</f>
        <v>55.2</v>
      </c>
    </row>
    <row r="7" customFormat="false" ht="35.05" hidden="false" customHeight="false" outlineLevel="0" collapsed="false">
      <c r="A7" s="208" t="s">
        <v>488</v>
      </c>
      <c r="B7" s="209" t="s">
        <v>489</v>
      </c>
      <c r="C7" s="21" t="s">
        <v>487</v>
      </c>
      <c r="D7" s="208" t="n">
        <v>30</v>
      </c>
      <c r="E7" s="210" t="n">
        <v>24.86</v>
      </c>
      <c r="F7" s="210" t="n">
        <f aca="false">E7*D7</f>
        <v>745.8</v>
      </c>
    </row>
    <row r="8" customFormat="false" ht="23.85" hidden="false" customHeight="false" outlineLevel="0" collapsed="false">
      <c r="A8" s="208" t="s">
        <v>490</v>
      </c>
      <c r="B8" s="209" t="s">
        <v>491</v>
      </c>
      <c r="C8" s="21" t="s">
        <v>487</v>
      </c>
      <c r="D8" s="208" t="n">
        <v>50</v>
      </c>
      <c r="E8" s="210" t="n">
        <v>10.76</v>
      </c>
      <c r="F8" s="210" t="n">
        <f aca="false">E8*D8</f>
        <v>538</v>
      </c>
    </row>
    <row r="9" customFormat="false" ht="23.85" hidden="false" customHeight="false" outlineLevel="0" collapsed="false">
      <c r="A9" s="208" t="s">
        <v>492</v>
      </c>
      <c r="B9" s="209" t="s">
        <v>493</v>
      </c>
      <c r="C9" s="21" t="s">
        <v>487</v>
      </c>
      <c r="D9" s="208" t="n">
        <v>200</v>
      </c>
      <c r="E9" s="210" t="n">
        <v>8.16</v>
      </c>
      <c r="F9" s="210" t="n">
        <f aca="false">E9*D9</f>
        <v>1632</v>
      </c>
    </row>
    <row r="10" customFormat="false" ht="35.05" hidden="false" customHeight="false" outlineLevel="0" collapsed="false">
      <c r="A10" s="208" t="s">
        <v>494</v>
      </c>
      <c r="B10" s="209" t="s">
        <v>495</v>
      </c>
      <c r="C10" s="21" t="s">
        <v>487</v>
      </c>
      <c r="D10" s="208" t="n">
        <v>100</v>
      </c>
      <c r="E10" s="210" t="n">
        <v>10.07</v>
      </c>
      <c r="F10" s="210" t="n">
        <f aca="false">E10*D10</f>
        <v>1007</v>
      </c>
    </row>
    <row r="11" customFormat="false" ht="25.2" hidden="false" customHeight="true" outlineLevel="0" collapsed="false">
      <c r="A11" s="208" t="s">
        <v>496</v>
      </c>
      <c r="B11" s="209" t="s">
        <v>497</v>
      </c>
      <c r="C11" s="21" t="s">
        <v>487</v>
      </c>
      <c r="D11" s="208" t="n">
        <v>48</v>
      </c>
      <c r="E11" s="210" t="n">
        <v>11.1</v>
      </c>
      <c r="F11" s="210" t="n">
        <f aca="false">E11*D11</f>
        <v>532.8</v>
      </c>
    </row>
    <row r="12" customFormat="false" ht="26.2" hidden="false" customHeight="true" outlineLevel="0" collapsed="false">
      <c r="A12" s="208" t="s">
        <v>498</v>
      </c>
      <c r="B12" s="209" t="s">
        <v>499</v>
      </c>
      <c r="C12" s="21" t="s">
        <v>487</v>
      </c>
      <c r="D12" s="208" t="n">
        <v>60</v>
      </c>
      <c r="E12" s="210" t="n">
        <v>3.8</v>
      </c>
      <c r="F12" s="210" t="n">
        <f aca="false">E12*D12</f>
        <v>228</v>
      </c>
    </row>
    <row r="13" customFormat="false" ht="14.4" hidden="false" customHeight="false" outlineLevel="0" collapsed="false">
      <c r="A13" s="208" t="s">
        <v>500</v>
      </c>
      <c r="B13" s="209" t="s">
        <v>501</v>
      </c>
      <c r="C13" s="21" t="s">
        <v>487</v>
      </c>
      <c r="D13" s="208" t="n">
        <v>10</v>
      </c>
      <c r="E13" s="210" t="n">
        <v>8.43</v>
      </c>
      <c r="F13" s="210" t="n">
        <f aca="false">E13*D13</f>
        <v>84.3</v>
      </c>
    </row>
    <row r="14" customFormat="false" ht="23.85" hidden="false" customHeight="false" outlineLevel="0" collapsed="false">
      <c r="A14" s="208" t="s">
        <v>502</v>
      </c>
      <c r="B14" s="209" t="s">
        <v>503</v>
      </c>
      <c r="C14" s="21" t="s">
        <v>487</v>
      </c>
      <c r="D14" s="208" t="n">
        <v>100</v>
      </c>
      <c r="E14" s="210" t="n">
        <v>7.08</v>
      </c>
      <c r="F14" s="210" t="n">
        <f aca="false">E14*D14</f>
        <v>708</v>
      </c>
    </row>
    <row r="15" customFormat="false" ht="23.85" hidden="false" customHeight="false" outlineLevel="0" collapsed="false">
      <c r="A15" s="208" t="s">
        <v>504</v>
      </c>
      <c r="B15" s="209" t="s">
        <v>505</v>
      </c>
      <c r="C15" s="21" t="s">
        <v>506</v>
      </c>
      <c r="D15" s="208" t="n">
        <v>2</v>
      </c>
      <c r="E15" s="210" t="n">
        <v>31.51</v>
      </c>
      <c r="F15" s="210" t="n">
        <f aca="false">E15*D15</f>
        <v>63.02</v>
      </c>
    </row>
    <row r="16" customFormat="false" ht="21" hidden="false" customHeight="true" outlineLevel="0" collapsed="false">
      <c r="A16" s="208" t="s">
        <v>507</v>
      </c>
      <c r="B16" s="209" t="s">
        <v>508</v>
      </c>
      <c r="C16" s="21" t="s">
        <v>487</v>
      </c>
      <c r="D16" s="208" t="n">
        <v>15</v>
      </c>
      <c r="E16" s="210" t="n">
        <v>18.06</v>
      </c>
      <c r="F16" s="210" t="n">
        <f aca="false">E16*D16</f>
        <v>270.9</v>
      </c>
    </row>
    <row r="17" customFormat="false" ht="23.85" hidden="false" customHeight="false" outlineLevel="0" collapsed="false">
      <c r="A17" s="208" t="s">
        <v>509</v>
      </c>
      <c r="B17" s="209" t="s">
        <v>510</v>
      </c>
      <c r="C17" s="21" t="s">
        <v>511</v>
      </c>
      <c r="D17" s="208" t="n">
        <v>200</v>
      </c>
      <c r="E17" s="210" t="n">
        <v>23.62</v>
      </c>
      <c r="F17" s="210" t="n">
        <f aca="false">E17*D17</f>
        <v>4724</v>
      </c>
    </row>
    <row r="18" customFormat="false" ht="41.25" hidden="false" customHeight="true" outlineLevel="0" collapsed="false">
      <c r="A18" s="208" t="s">
        <v>512</v>
      </c>
      <c r="B18" s="209" t="s">
        <v>513</v>
      </c>
      <c r="C18" s="21" t="s">
        <v>514</v>
      </c>
      <c r="D18" s="208" t="n">
        <v>30</v>
      </c>
      <c r="E18" s="210" t="n">
        <v>202.72</v>
      </c>
      <c r="F18" s="210" t="n">
        <f aca="false">E18*D18</f>
        <v>6081.6</v>
      </c>
    </row>
    <row r="19" customFormat="false" ht="39" hidden="false" customHeight="true" outlineLevel="0" collapsed="false">
      <c r="A19" s="208" t="s">
        <v>515</v>
      </c>
      <c r="B19" s="209" t="s">
        <v>516</v>
      </c>
      <c r="C19" s="21" t="s">
        <v>517</v>
      </c>
      <c r="D19" s="208" t="n">
        <v>8</v>
      </c>
      <c r="E19" s="210" t="n">
        <v>34.88</v>
      </c>
      <c r="F19" s="210" t="n">
        <f aca="false">E19*D19</f>
        <v>279.04</v>
      </c>
    </row>
    <row r="20" customFormat="false" ht="18" hidden="false" customHeight="true" outlineLevel="0" collapsed="false">
      <c r="A20" s="208" t="s">
        <v>518</v>
      </c>
      <c r="B20" s="209" t="s">
        <v>519</v>
      </c>
      <c r="C20" s="21" t="s">
        <v>520</v>
      </c>
      <c r="D20" s="208" t="n">
        <v>60</v>
      </c>
      <c r="E20" s="210" t="n">
        <v>9.44</v>
      </c>
      <c r="F20" s="210" t="n">
        <f aca="false">E20*D20</f>
        <v>566.4</v>
      </c>
    </row>
    <row r="21" customFormat="false" ht="23.85" hidden="false" customHeight="false" outlineLevel="0" collapsed="false">
      <c r="A21" s="208" t="s">
        <v>521</v>
      </c>
      <c r="B21" s="209" t="s">
        <v>522</v>
      </c>
      <c r="C21" s="21" t="s">
        <v>523</v>
      </c>
      <c r="D21" s="208" t="n">
        <v>4</v>
      </c>
      <c r="E21" s="210" t="n">
        <v>16.47</v>
      </c>
      <c r="F21" s="210" t="n">
        <f aca="false">E21*D21</f>
        <v>65.88</v>
      </c>
    </row>
    <row r="22" customFormat="false" ht="23.85" hidden="false" customHeight="false" outlineLevel="0" collapsed="false">
      <c r="A22" s="208" t="s">
        <v>524</v>
      </c>
      <c r="B22" s="209" t="s">
        <v>525</v>
      </c>
      <c r="C22" s="21" t="s">
        <v>526</v>
      </c>
      <c r="D22" s="208" t="n">
        <v>30</v>
      </c>
      <c r="E22" s="210" t="n">
        <v>40.06</v>
      </c>
      <c r="F22" s="210" t="n">
        <f aca="false">E22*D22</f>
        <v>1201.8</v>
      </c>
    </row>
    <row r="23" customFormat="false" ht="23.85" hidden="false" customHeight="false" outlineLevel="0" collapsed="false">
      <c r="A23" s="208" t="s">
        <v>527</v>
      </c>
      <c r="B23" s="209" t="s">
        <v>528</v>
      </c>
      <c r="C23" s="21" t="s">
        <v>526</v>
      </c>
      <c r="D23" s="208" t="n">
        <v>15</v>
      </c>
      <c r="E23" s="210" t="n">
        <v>43.43</v>
      </c>
      <c r="F23" s="210" t="n">
        <f aca="false">E23*D23</f>
        <v>651.45</v>
      </c>
    </row>
    <row r="24" customFormat="false" ht="23.85" hidden="false" customHeight="false" outlineLevel="0" collapsed="false">
      <c r="A24" s="208" t="s">
        <v>529</v>
      </c>
      <c r="B24" s="209" t="s">
        <v>530</v>
      </c>
      <c r="C24" s="21" t="s">
        <v>526</v>
      </c>
      <c r="D24" s="208" t="n">
        <v>30</v>
      </c>
      <c r="E24" s="210" t="n">
        <v>56.48</v>
      </c>
      <c r="F24" s="210" t="n">
        <f aca="false">E24*D24</f>
        <v>1694.4</v>
      </c>
    </row>
    <row r="25" customFormat="false" ht="14.4" hidden="false" customHeight="false" outlineLevel="0" collapsed="false">
      <c r="A25" s="208" t="s">
        <v>531</v>
      </c>
      <c r="B25" s="209" t="s">
        <v>532</v>
      </c>
      <c r="C25" s="21" t="s">
        <v>487</v>
      </c>
      <c r="D25" s="208" t="n">
        <v>24</v>
      </c>
      <c r="E25" s="210" t="n">
        <v>14.21</v>
      </c>
      <c r="F25" s="210" t="n">
        <f aca="false">E25*D25</f>
        <v>341.04</v>
      </c>
    </row>
    <row r="26" customFormat="false" ht="23.85" hidden="false" customHeight="false" outlineLevel="0" collapsed="false">
      <c r="A26" s="208" t="s">
        <v>533</v>
      </c>
      <c r="B26" s="209" t="s">
        <v>534</v>
      </c>
      <c r="C26" s="21" t="s">
        <v>535</v>
      </c>
      <c r="D26" s="208" t="n">
        <v>2</v>
      </c>
      <c r="E26" s="210" t="n">
        <v>40.46</v>
      </c>
      <c r="F26" s="210" t="n">
        <f aca="false">E26*D26</f>
        <v>80.92</v>
      </c>
    </row>
    <row r="27" customFormat="false" ht="23.85" hidden="false" customHeight="false" outlineLevel="0" collapsed="false">
      <c r="A27" s="208" t="s">
        <v>536</v>
      </c>
      <c r="B27" s="209" t="s">
        <v>537</v>
      </c>
      <c r="C27" s="21" t="s">
        <v>538</v>
      </c>
      <c r="D27" s="208" t="n">
        <v>6</v>
      </c>
      <c r="E27" s="210" t="n">
        <v>58.2</v>
      </c>
      <c r="F27" s="210" t="n">
        <f aca="false">E27*D27</f>
        <v>349.2</v>
      </c>
    </row>
    <row r="28" customFormat="false" ht="17.25" hidden="false" customHeight="true" outlineLevel="0" collapsed="false">
      <c r="A28" s="208" t="s">
        <v>539</v>
      </c>
      <c r="B28" s="209" t="s">
        <v>540</v>
      </c>
      <c r="C28" s="21" t="s">
        <v>487</v>
      </c>
      <c r="D28" s="208" t="n">
        <v>1</v>
      </c>
      <c r="E28" s="210" t="n">
        <v>47.27</v>
      </c>
      <c r="F28" s="210" t="n">
        <f aca="false">E28*D28</f>
        <v>47.27</v>
      </c>
    </row>
    <row r="29" customFormat="false" ht="17.25" hidden="false" customHeight="true" outlineLevel="0" collapsed="false">
      <c r="A29" s="208" t="s">
        <v>541</v>
      </c>
      <c r="B29" s="209" t="s">
        <v>542</v>
      </c>
      <c r="C29" s="21" t="s">
        <v>487</v>
      </c>
      <c r="D29" s="208" t="n">
        <v>3</v>
      </c>
      <c r="E29" s="210" t="n">
        <v>21.91</v>
      </c>
      <c r="F29" s="210" t="n">
        <f aca="false">E29*D29</f>
        <v>65.73</v>
      </c>
    </row>
    <row r="30" customFormat="false" ht="14.4" hidden="false" customHeight="false" outlineLevel="0" collapsed="false">
      <c r="A30" s="208" t="n">
        <v>27</v>
      </c>
      <c r="B30" s="209" t="s">
        <v>543</v>
      </c>
      <c r="C30" s="21" t="s">
        <v>487</v>
      </c>
      <c r="D30" s="208" t="n">
        <v>12</v>
      </c>
      <c r="E30" s="210" t="n">
        <v>28.12</v>
      </c>
      <c r="F30" s="210" t="n">
        <f aca="false">E30*D30</f>
        <v>337.44</v>
      </c>
    </row>
    <row r="31" customFormat="false" ht="14.4" hidden="false" customHeight="false" outlineLevel="0" collapsed="false">
      <c r="A31" s="205" t="s">
        <v>479</v>
      </c>
      <c r="B31" s="205"/>
      <c r="C31" s="205"/>
      <c r="D31" s="205"/>
      <c r="E31" s="205"/>
      <c r="F31" s="211" t="n">
        <f aca="false">SUM(F4:F30)</f>
        <v>23248.07</v>
      </c>
    </row>
    <row r="32" customFormat="false" ht="14.4" hidden="false" customHeight="false" outlineLevel="0" collapsed="false">
      <c r="A32" s="205" t="s">
        <v>544</v>
      </c>
      <c r="B32" s="205"/>
      <c r="C32" s="205"/>
      <c r="D32" s="205"/>
      <c r="E32" s="205"/>
      <c r="F32" s="205" t="n">
        <v>31</v>
      </c>
    </row>
    <row r="33" customFormat="false" ht="14.4" hidden="false" customHeight="false" outlineLevel="0" collapsed="false">
      <c r="A33" s="205" t="s">
        <v>545</v>
      </c>
      <c r="B33" s="205"/>
      <c r="C33" s="205"/>
      <c r="D33" s="205"/>
      <c r="E33" s="205"/>
      <c r="F33" s="211" t="n">
        <f aca="false">ROUND(F31/F32,2)</f>
        <v>749.94</v>
      </c>
    </row>
    <row r="34" customFormat="false" ht="9" hidden="false" customHeight="true" outlineLevel="0" collapsed="false">
      <c r="B34" s="212"/>
      <c r="E34" s="213"/>
      <c r="F34" s="213"/>
    </row>
    <row r="35" customFormat="false" ht="9.6" hidden="false" customHeight="true" outlineLevel="0" collapsed="false">
      <c r="A35" s="204" t="s">
        <v>546</v>
      </c>
      <c r="B35" s="204"/>
      <c r="C35" s="204"/>
      <c r="D35" s="204"/>
      <c r="E35" s="204"/>
      <c r="F35" s="204"/>
    </row>
    <row r="36" customFormat="false" ht="5.4" hidden="false" customHeight="true" outlineLevel="0" collapsed="false">
      <c r="A36" s="204"/>
      <c r="B36" s="204"/>
      <c r="C36" s="204"/>
      <c r="D36" s="204"/>
      <c r="E36" s="204"/>
      <c r="F36" s="204"/>
    </row>
    <row r="37" s="215" customFormat="true" ht="14.4" hidden="false" customHeight="false" outlineLevel="0" collapsed="false">
      <c r="A37" s="214" t="s">
        <v>547</v>
      </c>
      <c r="B37" s="214"/>
      <c r="C37" s="214"/>
      <c r="D37" s="214"/>
      <c r="E37" s="214"/>
      <c r="F37" s="214"/>
    </row>
    <row r="38" customFormat="false" ht="23.85" hidden="false" customHeight="false" outlineLevel="0" collapsed="false">
      <c r="A38" s="205" t="s">
        <v>1</v>
      </c>
      <c r="B38" s="204" t="s">
        <v>2</v>
      </c>
      <c r="C38" s="204" t="s">
        <v>476</v>
      </c>
      <c r="D38" s="205" t="s">
        <v>477</v>
      </c>
      <c r="E38" s="206" t="s">
        <v>478</v>
      </c>
      <c r="F38" s="207" t="s">
        <v>479</v>
      </c>
    </row>
    <row r="39" customFormat="false" ht="14.4" hidden="false" customHeight="false" outlineLevel="0" collapsed="false">
      <c r="A39" s="208" t="n">
        <v>1</v>
      </c>
      <c r="B39" s="209" t="s">
        <v>548</v>
      </c>
      <c r="C39" s="21" t="s">
        <v>487</v>
      </c>
      <c r="D39" s="208" t="n">
        <v>1</v>
      </c>
      <c r="E39" s="210" t="n">
        <v>162.57</v>
      </c>
      <c r="F39" s="210" t="n">
        <f aca="false">E39*D39</f>
        <v>162.57</v>
      </c>
    </row>
    <row r="40" customFormat="false" ht="14.4" hidden="false" customHeight="false" outlineLevel="0" collapsed="false">
      <c r="A40" s="208" t="n">
        <v>2</v>
      </c>
      <c r="B40" s="209" t="s">
        <v>549</v>
      </c>
      <c r="C40" s="21" t="s">
        <v>487</v>
      </c>
      <c r="D40" s="208" t="n">
        <v>1</v>
      </c>
      <c r="E40" s="210" t="n">
        <v>116.67</v>
      </c>
      <c r="F40" s="210" t="n">
        <f aca="false">E40*D40</f>
        <v>116.67</v>
      </c>
    </row>
    <row r="41" customFormat="false" ht="14.4" hidden="false" customHeight="false" outlineLevel="0" collapsed="false">
      <c r="A41" s="208" t="n">
        <v>3</v>
      </c>
      <c r="B41" s="209" t="s">
        <v>550</v>
      </c>
      <c r="C41" s="21" t="s">
        <v>487</v>
      </c>
      <c r="D41" s="208" t="n">
        <v>1</v>
      </c>
      <c r="E41" s="210" t="n">
        <v>4.54</v>
      </c>
      <c r="F41" s="210" t="n">
        <f aca="false">E41*D41</f>
        <v>4.54</v>
      </c>
    </row>
    <row r="42" customFormat="false" ht="14.4" hidden="false" customHeight="false" outlineLevel="0" collapsed="false">
      <c r="A42" s="208" t="n">
        <v>4</v>
      </c>
      <c r="B42" s="209" t="s">
        <v>551</v>
      </c>
      <c r="C42" s="21" t="s">
        <v>487</v>
      </c>
      <c r="D42" s="208" t="n">
        <v>1</v>
      </c>
      <c r="E42" s="210" t="n">
        <v>4.57</v>
      </c>
      <c r="F42" s="210" t="n">
        <f aca="false">E42*D42</f>
        <v>4.57</v>
      </c>
    </row>
    <row r="43" customFormat="false" ht="14.4" hidden="false" customHeight="false" outlineLevel="0" collapsed="false">
      <c r="A43" s="208" t="n">
        <v>5</v>
      </c>
      <c r="B43" s="209" t="s">
        <v>552</v>
      </c>
      <c r="C43" s="21" t="s">
        <v>487</v>
      </c>
      <c r="D43" s="208" t="n">
        <v>9</v>
      </c>
      <c r="E43" s="210" t="n">
        <v>11.45</v>
      </c>
      <c r="F43" s="210" t="n">
        <f aca="false">E43*D43</f>
        <v>103.05</v>
      </c>
    </row>
    <row r="44" customFormat="false" ht="14.4" hidden="false" customHeight="false" outlineLevel="0" collapsed="false">
      <c r="A44" s="208" t="n">
        <v>6</v>
      </c>
      <c r="B44" s="209" t="s">
        <v>553</v>
      </c>
      <c r="C44" s="21" t="s">
        <v>487</v>
      </c>
      <c r="D44" s="208" t="n">
        <v>10</v>
      </c>
      <c r="E44" s="210" t="n">
        <v>29.2</v>
      </c>
      <c r="F44" s="210" t="n">
        <f aca="false">E44*D44</f>
        <v>292</v>
      </c>
    </row>
    <row r="45" customFormat="false" ht="14.4" hidden="false" customHeight="false" outlineLevel="0" collapsed="false">
      <c r="A45" s="208" t="n">
        <v>7</v>
      </c>
      <c r="B45" s="209" t="s">
        <v>554</v>
      </c>
      <c r="C45" s="21" t="s">
        <v>487</v>
      </c>
      <c r="D45" s="208" t="n">
        <v>8</v>
      </c>
      <c r="E45" s="210" t="n">
        <v>11.61</v>
      </c>
      <c r="F45" s="210" t="n">
        <f aca="false">E45*D45</f>
        <v>92.88</v>
      </c>
    </row>
    <row r="46" customFormat="false" ht="23.85" hidden="false" customHeight="false" outlineLevel="0" collapsed="false">
      <c r="A46" s="208" t="n">
        <v>8</v>
      </c>
      <c r="B46" s="209" t="s">
        <v>555</v>
      </c>
      <c r="C46" s="21" t="s">
        <v>487</v>
      </c>
      <c r="D46" s="21" t="n">
        <v>10</v>
      </c>
      <c r="E46" s="210" t="n">
        <v>8.86</v>
      </c>
      <c r="F46" s="210" t="n">
        <f aca="false">E46*D46</f>
        <v>88.6</v>
      </c>
    </row>
    <row r="47" customFormat="false" ht="14.4" hidden="false" customHeight="false" outlineLevel="0" collapsed="false">
      <c r="A47" s="208" t="n">
        <v>9</v>
      </c>
      <c r="B47" s="209" t="s">
        <v>556</v>
      </c>
      <c r="C47" s="21" t="s">
        <v>487</v>
      </c>
      <c r="D47" s="208" t="n">
        <v>6</v>
      </c>
      <c r="E47" s="210" t="n">
        <v>8.35</v>
      </c>
      <c r="F47" s="210" t="n">
        <f aca="false">E47*D47</f>
        <v>50.1</v>
      </c>
    </row>
    <row r="48" customFormat="false" ht="14.4" hidden="false" customHeight="false" outlineLevel="0" collapsed="false">
      <c r="A48" s="208" t="n">
        <v>10</v>
      </c>
      <c r="B48" s="209" t="s">
        <v>557</v>
      </c>
      <c r="C48" s="21" t="s">
        <v>487</v>
      </c>
      <c r="D48" s="208" t="n">
        <v>12</v>
      </c>
      <c r="E48" s="210" t="n">
        <v>5.93</v>
      </c>
      <c r="F48" s="210" t="n">
        <f aca="false">E48*D48</f>
        <v>71.16</v>
      </c>
    </row>
    <row r="49" customFormat="false" ht="23.85" hidden="false" customHeight="false" outlineLevel="0" collapsed="false">
      <c r="A49" s="208" t="n">
        <v>11</v>
      </c>
      <c r="B49" s="209" t="s">
        <v>558</v>
      </c>
      <c r="C49" s="21" t="s">
        <v>487</v>
      </c>
      <c r="D49" s="208" t="n">
        <v>180</v>
      </c>
      <c r="E49" s="210" t="n">
        <v>20.21</v>
      </c>
      <c r="F49" s="210" t="n">
        <f aca="false">E49*D49</f>
        <v>3637.8</v>
      </c>
    </row>
    <row r="50" customFormat="false" ht="14.4" hidden="false" customHeight="false" outlineLevel="0" collapsed="false">
      <c r="A50" s="205" t="s">
        <v>479</v>
      </c>
      <c r="B50" s="205"/>
      <c r="C50" s="205"/>
      <c r="D50" s="205"/>
      <c r="E50" s="205"/>
      <c r="F50" s="211" t="n">
        <f aca="false">SUM(F39:F49)</f>
        <v>4623.94</v>
      </c>
    </row>
    <row r="51" customFormat="false" ht="14.4" hidden="false" customHeight="false" outlineLevel="0" collapsed="false">
      <c r="A51" s="205" t="s">
        <v>544</v>
      </c>
      <c r="B51" s="205"/>
      <c r="C51" s="205"/>
      <c r="D51" s="205"/>
      <c r="E51" s="205"/>
      <c r="F51" s="205" t="n">
        <v>31</v>
      </c>
    </row>
    <row r="52" customFormat="false" ht="14.4" hidden="false" customHeight="false" outlineLevel="0" collapsed="false">
      <c r="A52" s="205" t="s">
        <v>545</v>
      </c>
      <c r="B52" s="205"/>
      <c r="C52" s="205"/>
      <c r="D52" s="205"/>
      <c r="E52" s="205"/>
      <c r="F52" s="211" t="n">
        <f aca="false">ROUND((F50/F51)/6,2)</f>
        <v>24.86</v>
      </c>
    </row>
    <row r="53" customFormat="false" ht="8.4" hidden="false" customHeight="true" outlineLevel="0" collapsed="false">
      <c r="A53" s="216"/>
      <c r="B53" s="216"/>
      <c r="C53" s="216"/>
      <c r="D53" s="216"/>
      <c r="E53" s="216"/>
      <c r="F53" s="216"/>
    </row>
    <row r="54" customFormat="false" ht="14.4" hidden="false" customHeight="false" outlineLevel="0" collapsed="false">
      <c r="A54" s="214" t="s">
        <v>559</v>
      </c>
      <c r="B54" s="214"/>
      <c r="C54" s="214"/>
      <c r="D54" s="214"/>
      <c r="E54" s="214"/>
      <c r="F54" s="214"/>
    </row>
    <row r="55" customFormat="false" ht="23.85" hidden="false" customHeight="false" outlineLevel="0" collapsed="false">
      <c r="A55" s="205" t="s">
        <v>1</v>
      </c>
      <c r="B55" s="204" t="s">
        <v>2</v>
      </c>
      <c r="C55" s="204" t="s">
        <v>476</v>
      </c>
      <c r="D55" s="205" t="s">
        <v>477</v>
      </c>
      <c r="E55" s="206" t="s">
        <v>478</v>
      </c>
      <c r="F55" s="207" t="s">
        <v>479</v>
      </c>
    </row>
    <row r="56" customFormat="false" ht="14.4" hidden="false" customHeight="false" outlineLevel="0" collapsed="false">
      <c r="A56" s="208" t="n">
        <v>1</v>
      </c>
      <c r="B56" s="209" t="s">
        <v>560</v>
      </c>
      <c r="C56" s="21" t="s">
        <v>487</v>
      </c>
      <c r="D56" s="208" t="n">
        <v>2</v>
      </c>
      <c r="E56" s="210" t="n">
        <v>18.61</v>
      </c>
      <c r="F56" s="210" t="n">
        <f aca="false">E56*D56</f>
        <v>37.22</v>
      </c>
    </row>
    <row r="57" customFormat="false" ht="14.4" hidden="false" customHeight="false" outlineLevel="0" collapsed="false">
      <c r="A57" s="205" t="s">
        <v>479</v>
      </c>
      <c r="B57" s="205"/>
      <c r="C57" s="205"/>
      <c r="D57" s="205"/>
      <c r="E57" s="205"/>
      <c r="F57" s="211" t="n">
        <f aca="false">SUM(F56:F56)</f>
        <v>37.22</v>
      </c>
    </row>
    <row r="58" customFormat="false" ht="14.4" hidden="false" customHeight="false" outlineLevel="0" collapsed="false">
      <c r="A58" s="205" t="s">
        <v>544</v>
      </c>
      <c r="B58" s="205"/>
      <c r="C58" s="205"/>
      <c r="D58" s="205"/>
      <c r="E58" s="205"/>
      <c r="F58" s="205" t="n">
        <v>7</v>
      </c>
    </row>
    <row r="59" customFormat="false" ht="14.4" hidden="false" customHeight="false" outlineLevel="0" collapsed="false">
      <c r="A59" s="205" t="s">
        <v>545</v>
      </c>
      <c r="B59" s="205"/>
      <c r="C59" s="205"/>
      <c r="D59" s="205"/>
      <c r="E59" s="205"/>
      <c r="F59" s="211" t="n">
        <f aca="false">ROUND((F57/F58)/6,2)</f>
        <v>0.89</v>
      </c>
    </row>
    <row r="60" customFormat="false" ht="9.6" hidden="false" customHeight="true" outlineLevel="0" collapsed="false">
      <c r="A60" s="217"/>
      <c r="B60" s="218"/>
      <c r="C60" s="217"/>
      <c r="D60" s="217"/>
      <c r="E60" s="219"/>
      <c r="F60" s="219"/>
    </row>
    <row r="61" customFormat="false" ht="14.4" hidden="false" customHeight="false" outlineLevel="0" collapsed="false">
      <c r="A61" s="205" t="s">
        <v>561</v>
      </c>
      <c r="B61" s="205"/>
      <c r="C61" s="205"/>
      <c r="D61" s="205"/>
      <c r="E61" s="205"/>
      <c r="F61" s="211" t="n">
        <f aca="false">F33+F52</f>
        <v>774.8</v>
      </c>
    </row>
    <row r="62" customFormat="false" ht="14.4" hidden="false" customHeight="false" outlineLevel="0" collapsed="false">
      <c r="A62" s="205" t="s">
        <v>562</v>
      </c>
      <c r="B62" s="205"/>
      <c r="C62" s="205"/>
      <c r="D62" s="205"/>
      <c r="E62" s="205"/>
      <c r="F62" s="211" t="n">
        <f aca="false">F59</f>
        <v>0.89</v>
      </c>
    </row>
  </sheetData>
  <mergeCells count="16">
    <mergeCell ref="A1:F2"/>
    <mergeCell ref="A31:E31"/>
    <mergeCell ref="A32:E32"/>
    <mergeCell ref="A33:E33"/>
    <mergeCell ref="A35:F36"/>
    <mergeCell ref="A37:F37"/>
    <mergeCell ref="A50:E50"/>
    <mergeCell ref="A51:E51"/>
    <mergeCell ref="A52:E52"/>
    <mergeCell ref="A53:F53"/>
    <mergeCell ref="A54:F54"/>
    <mergeCell ref="A57:E57"/>
    <mergeCell ref="A58:E58"/>
    <mergeCell ref="A59:E59"/>
    <mergeCell ref="A61:E61"/>
    <mergeCell ref="A62:E62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pageBreakPreview" topLeftCell="A10" colorId="64" zoomScale="80" zoomScaleNormal="100" zoomScalePageLayoutView="80" workbookViewId="0">
      <selection pane="topLeft" activeCell="B32" activeCellId="0" sqref="B32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39.66"/>
    <col collapsed="false" customWidth="true" hidden="false" outlineLevel="0" max="3" min="3" style="1" width="9.89"/>
    <col collapsed="false" customWidth="false" hidden="false" outlineLevel="0" max="4" min="4" style="1" width="8.67"/>
    <col collapsed="false" customWidth="true" hidden="false" outlineLevel="0" max="5" min="5" style="1" width="12.56"/>
    <col collapsed="false" customWidth="true" hidden="false" outlineLevel="0" max="6" min="6" style="1" width="12.33"/>
    <col collapsed="false" customWidth="true" hidden="false" outlineLevel="0" max="7" min="7" style="1" width="8"/>
    <col collapsed="false" customWidth="true" hidden="false" outlineLevel="0" max="8" min="8" style="1" width="12.66"/>
    <col collapsed="false" customWidth="true" hidden="false" outlineLevel="0" max="9" min="9" style="1" width="13.55"/>
    <col collapsed="false" customWidth="true" hidden="false" outlineLevel="0" max="10" min="10" style="1" width="9.13"/>
    <col collapsed="false" customWidth="true" hidden="false" outlineLevel="0" max="1025" min="11" style="1" width="14.43"/>
  </cols>
  <sheetData>
    <row r="1" customFormat="false" ht="15" hidden="false" customHeight="true" outlineLevel="0" collapsed="false">
      <c r="A1" s="204" t="s">
        <v>563</v>
      </c>
      <c r="B1" s="204"/>
      <c r="C1" s="204"/>
      <c r="D1" s="204"/>
      <c r="E1" s="204"/>
      <c r="F1" s="204"/>
    </row>
    <row r="2" customFormat="false" ht="14.4" hidden="false" customHeight="false" outlineLevel="0" collapsed="false">
      <c r="A2" s="204"/>
      <c r="B2" s="204"/>
      <c r="C2" s="204"/>
      <c r="D2" s="204"/>
      <c r="E2" s="204"/>
      <c r="F2" s="204"/>
    </row>
    <row r="3" customFormat="false" ht="14.4" hidden="false" customHeight="false" outlineLevel="0" collapsed="false">
      <c r="A3" s="214" t="s">
        <v>559</v>
      </c>
      <c r="B3" s="214"/>
      <c r="C3" s="214"/>
      <c r="D3" s="214"/>
      <c r="E3" s="214"/>
      <c r="F3" s="214"/>
    </row>
    <row r="4" customFormat="false" ht="23.85" hidden="false" customHeight="false" outlineLevel="0" collapsed="false">
      <c r="A4" s="205" t="s">
        <v>1</v>
      </c>
      <c r="B4" s="204" t="s">
        <v>2</v>
      </c>
      <c r="C4" s="204" t="s">
        <v>476</v>
      </c>
      <c r="D4" s="205" t="s">
        <v>477</v>
      </c>
      <c r="E4" s="206" t="s">
        <v>478</v>
      </c>
      <c r="F4" s="207" t="s">
        <v>479</v>
      </c>
    </row>
    <row r="5" customFormat="false" ht="55.8" hidden="false" customHeight="true" outlineLevel="0" collapsed="false">
      <c r="A5" s="208" t="n">
        <v>1</v>
      </c>
      <c r="B5" s="220" t="s">
        <v>564</v>
      </c>
      <c r="C5" s="208" t="s">
        <v>476</v>
      </c>
      <c r="D5" s="208" t="n">
        <v>1</v>
      </c>
      <c r="E5" s="221" t="n">
        <v>49.61</v>
      </c>
      <c r="F5" s="210" t="n">
        <f aca="false">E5*D5</f>
        <v>49.61</v>
      </c>
    </row>
    <row r="6" customFormat="false" ht="40.35" hidden="false" customHeight="true" outlineLevel="0" collapsed="false">
      <c r="A6" s="208" t="n">
        <v>2</v>
      </c>
      <c r="B6" s="220" t="s">
        <v>565</v>
      </c>
      <c r="C6" s="208" t="s">
        <v>476</v>
      </c>
      <c r="D6" s="208" t="n">
        <v>1</v>
      </c>
      <c r="E6" s="221" t="n">
        <v>27.97</v>
      </c>
      <c r="F6" s="210" t="n">
        <f aca="false">E6*D6</f>
        <v>27.97</v>
      </c>
    </row>
    <row r="7" customFormat="false" ht="16.8" hidden="false" customHeight="true" outlineLevel="0" collapsed="false">
      <c r="A7" s="208" t="n">
        <v>3</v>
      </c>
      <c r="B7" s="220" t="s">
        <v>566</v>
      </c>
      <c r="C7" s="208" t="s">
        <v>476</v>
      </c>
      <c r="D7" s="208" t="n">
        <v>1</v>
      </c>
      <c r="E7" s="221" t="n">
        <v>45.62</v>
      </c>
      <c r="F7" s="210" t="n">
        <f aca="false">E7*D7</f>
        <v>45.62</v>
      </c>
    </row>
    <row r="8" customFormat="false" ht="14.4" hidden="false" customHeight="false" outlineLevel="0" collapsed="false">
      <c r="A8" s="205" t="s">
        <v>479</v>
      </c>
      <c r="B8" s="205"/>
      <c r="C8" s="205"/>
      <c r="D8" s="205"/>
      <c r="E8" s="205"/>
      <c r="F8" s="211" t="n">
        <f aca="false">SUM(F5:F7)</f>
        <v>123.2</v>
      </c>
    </row>
    <row r="9" customFormat="false" ht="14.4" hidden="false" customHeight="false" outlineLevel="0" collapsed="false">
      <c r="A9" s="205" t="s">
        <v>544</v>
      </c>
      <c r="B9" s="205"/>
      <c r="C9" s="205"/>
      <c r="D9" s="205"/>
      <c r="E9" s="205"/>
      <c r="F9" s="205" t="n">
        <v>7</v>
      </c>
    </row>
    <row r="10" customFormat="false" ht="14.4" hidden="false" customHeight="false" outlineLevel="0" collapsed="false">
      <c r="A10" s="205" t="s">
        <v>545</v>
      </c>
      <c r="B10" s="205"/>
      <c r="C10" s="205"/>
      <c r="D10" s="205"/>
      <c r="E10" s="205"/>
      <c r="F10" s="211" t="n">
        <f aca="false">ROUND((F8/F9)/6,2)</f>
        <v>2.93</v>
      </c>
    </row>
    <row r="11" customFormat="false" ht="14.4" hidden="false" customHeight="false" outlineLevel="0" collapsed="false">
      <c r="A11" s="222"/>
      <c r="B11" s="222"/>
      <c r="C11" s="222"/>
      <c r="D11" s="222"/>
      <c r="E11" s="222"/>
      <c r="F11" s="223"/>
    </row>
    <row r="12" customFormat="false" ht="8.4" hidden="false" customHeight="true" outlineLevel="0" collapsed="false"/>
    <row r="13" customFormat="false" ht="13.8" hidden="false" customHeight="true" outlineLevel="0" collapsed="false">
      <c r="A13" s="204" t="s">
        <v>567</v>
      </c>
      <c r="B13" s="204"/>
      <c r="C13" s="204"/>
      <c r="D13" s="204"/>
      <c r="E13" s="204"/>
      <c r="F13" s="204"/>
    </row>
    <row r="14" customFormat="false" ht="14.4" hidden="false" customHeight="false" outlineLevel="0" collapsed="false">
      <c r="A14" s="204"/>
      <c r="B14" s="204"/>
      <c r="C14" s="204"/>
      <c r="D14" s="204"/>
      <c r="E14" s="204"/>
      <c r="F14" s="204"/>
    </row>
    <row r="15" customFormat="false" ht="14.4" hidden="false" customHeight="false" outlineLevel="0" collapsed="false">
      <c r="A15" s="224" t="s">
        <v>568</v>
      </c>
      <c r="B15" s="224"/>
      <c r="C15" s="224"/>
      <c r="D15" s="224"/>
      <c r="E15" s="224"/>
      <c r="F15" s="224"/>
    </row>
    <row r="16" customFormat="false" ht="23.85" hidden="false" customHeight="false" outlineLevel="0" collapsed="false">
      <c r="A16" s="205" t="s">
        <v>1</v>
      </c>
      <c r="B16" s="204" t="s">
        <v>2</v>
      </c>
      <c r="C16" s="204" t="s">
        <v>476</v>
      </c>
      <c r="D16" s="205" t="s">
        <v>477</v>
      </c>
      <c r="E16" s="206" t="s">
        <v>478</v>
      </c>
      <c r="F16" s="207" t="s">
        <v>479</v>
      </c>
    </row>
    <row r="17" customFormat="false" ht="27.15" hidden="false" customHeight="true" outlineLevel="0" collapsed="false">
      <c r="A17" s="208" t="n">
        <v>1</v>
      </c>
      <c r="B17" s="225" t="s">
        <v>569</v>
      </c>
      <c r="C17" s="208" t="s">
        <v>570</v>
      </c>
      <c r="D17" s="208" t="n">
        <v>3</v>
      </c>
      <c r="E17" s="221" t="n">
        <v>11.07</v>
      </c>
      <c r="F17" s="210" t="n">
        <f aca="false">E17*D17</f>
        <v>33.21</v>
      </c>
    </row>
    <row r="18" customFormat="false" ht="14.4" hidden="false" customHeight="false" outlineLevel="0" collapsed="false">
      <c r="A18" s="205" t="s">
        <v>479</v>
      </c>
      <c r="B18" s="205"/>
      <c r="C18" s="205"/>
      <c r="D18" s="205"/>
      <c r="E18" s="205"/>
      <c r="F18" s="211" t="n">
        <f aca="false">SUM(F17:F17)</f>
        <v>33.21</v>
      </c>
    </row>
    <row r="19" customFormat="false" ht="14.4" hidden="false" customHeight="false" outlineLevel="0" collapsed="false">
      <c r="A19" s="205" t="s">
        <v>544</v>
      </c>
      <c r="B19" s="205"/>
      <c r="C19" s="205"/>
      <c r="D19" s="205"/>
      <c r="E19" s="205"/>
      <c r="F19" s="205" t="n">
        <v>3</v>
      </c>
    </row>
    <row r="20" customFormat="false" ht="14.4" hidden="false" customHeight="false" outlineLevel="0" collapsed="false">
      <c r="A20" s="205" t="s">
        <v>545</v>
      </c>
      <c r="B20" s="205"/>
      <c r="C20" s="205"/>
      <c r="D20" s="205"/>
      <c r="E20" s="205"/>
      <c r="F20" s="211" t="n">
        <f aca="false">ROUND((F18/F19)/6,2)</f>
        <v>1.85</v>
      </c>
    </row>
    <row r="21" customFormat="false" ht="8.4" hidden="false" customHeight="true" outlineLevel="0" collapsed="false"/>
    <row r="22" customFormat="false" ht="5.4" hidden="false" customHeight="true" outlineLevel="0" collapsed="false"/>
    <row r="23" customFormat="false" ht="15" hidden="false" customHeight="true" outlineLevel="0" collapsed="false">
      <c r="A23" s="204" t="s">
        <v>571</v>
      </c>
      <c r="B23" s="204"/>
      <c r="C23" s="204"/>
      <c r="D23" s="204"/>
      <c r="E23" s="204"/>
      <c r="F23" s="204"/>
      <c r="G23" s="204"/>
      <c r="H23" s="204"/>
      <c r="I23" s="204"/>
    </row>
    <row r="24" s="227" customFormat="true" ht="14.4" hidden="false" customHeight="false" outlineLevel="0" collapsed="false">
      <c r="A24" s="226" t="s">
        <v>547</v>
      </c>
      <c r="B24" s="226"/>
      <c r="C24" s="226"/>
      <c r="D24" s="226"/>
      <c r="E24" s="226"/>
      <c r="F24" s="226"/>
      <c r="G24" s="226"/>
      <c r="H24" s="226"/>
      <c r="I24" s="226"/>
    </row>
    <row r="25" s="227" customFormat="true" ht="35.05" hidden="false" customHeight="false" outlineLevel="0" collapsed="false">
      <c r="A25" s="205" t="s">
        <v>1</v>
      </c>
      <c r="B25" s="205" t="s">
        <v>2</v>
      </c>
      <c r="C25" s="205" t="s">
        <v>476</v>
      </c>
      <c r="D25" s="205" t="s">
        <v>477</v>
      </c>
      <c r="E25" s="206" t="s">
        <v>478</v>
      </c>
      <c r="F25" s="207" t="s">
        <v>479</v>
      </c>
      <c r="G25" s="228" t="s">
        <v>572</v>
      </c>
      <c r="H25" s="229" t="s">
        <v>573</v>
      </c>
      <c r="I25" s="229" t="s">
        <v>574</v>
      </c>
    </row>
    <row r="26" s="227" customFormat="true" ht="14.4" hidden="false" customHeight="false" outlineLevel="0" collapsed="false">
      <c r="A26" s="230" t="s">
        <v>66</v>
      </c>
      <c r="B26" s="231" t="s">
        <v>575</v>
      </c>
      <c r="C26" s="23" t="s">
        <v>476</v>
      </c>
      <c r="D26" s="23" t="n">
        <v>2</v>
      </c>
      <c r="E26" s="232" t="n">
        <v>163.5</v>
      </c>
      <c r="F26" s="232" t="n">
        <f aca="false">E26*D26</f>
        <v>327</v>
      </c>
      <c r="G26" s="23" t="n">
        <v>60</v>
      </c>
      <c r="H26" s="232" t="n">
        <f aca="false">ROUND(F26*0.8,2)</f>
        <v>261.6</v>
      </c>
      <c r="I26" s="232" t="n">
        <f aca="false">ROUND(H26/G26,2)</f>
        <v>4.36</v>
      </c>
    </row>
    <row r="27" s="227" customFormat="true" ht="13.8" hidden="false" customHeight="true" outlineLevel="0" collapsed="false">
      <c r="A27" s="228" t="s">
        <v>363</v>
      </c>
      <c r="B27" s="228"/>
      <c r="C27" s="228"/>
      <c r="D27" s="228"/>
      <c r="E27" s="228"/>
      <c r="F27" s="233" t="n">
        <f aca="false">SUM(F26:F26)</f>
        <v>327</v>
      </c>
      <c r="G27" s="234"/>
      <c r="H27" s="233"/>
      <c r="I27" s="235" t="n">
        <f aca="false">SUM(I26:I26)</f>
        <v>4.36</v>
      </c>
    </row>
    <row r="28" s="227" customFormat="true" ht="13.8" hidden="false" customHeight="true" outlineLevel="0" collapsed="false">
      <c r="A28" s="204" t="s">
        <v>544</v>
      </c>
      <c r="B28" s="204"/>
      <c r="C28" s="204"/>
      <c r="D28" s="204"/>
      <c r="E28" s="204"/>
      <c r="F28" s="204"/>
      <c r="G28" s="204"/>
      <c r="H28" s="204"/>
      <c r="I28" s="234" t="n">
        <v>31</v>
      </c>
    </row>
    <row r="29" s="227" customFormat="true" ht="13.8" hidden="false" customHeight="true" outlineLevel="0" collapsed="false">
      <c r="A29" s="204" t="s">
        <v>545</v>
      </c>
      <c r="B29" s="204"/>
      <c r="C29" s="204"/>
      <c r="D29" s="204"/>
      <c r="E29" s="204"/>
      <c r="F29" s="204"/>
      <c r="G29" s="204"/>
      <c r="H29" s="204"/>
      <c r="I29" s="235" t="n">
        <f aca="false">ROUND(I27/I28,2)</f>
        <v>0.14</v>
      </c>
    </row>
    <row r="30" customFormat="false" ht="14.4" hidden="false" customHeight="false" outlineLevel="0" collapsed="false">
      <c r="A30" s="226" t="s">
        <v>559</v>
      </c>
      <c r="B30" s="226"/>
      <c r="C30" s="226"/>
      <c r="D30" s="226"/>
      <c r="E30" s="226"/>
      <c r="F30" s="226"/>
      <c r="G30" s="226"/>
      <c r="H30" s="226"/>
      <c r="I30" s="226"/>
    </row>
    <row r="31" customFormat="false" ht="35.05" hidden="false" customHeight="false" outlineLevel="0" collapsed="false">
      <c r="A31" s="205" t="s">
        <v>1</v>
      </c>
      <c r="B31" s="205" t="s">
        <v>2</v>
      </c>
      <c r="C31" s="205" t="s">
        <v>476</v>
      </c>
      <c r="D31" s="205" t="s">
        <v>477</v>
      </c>
      <c r="E31" s="206" t="s">
        <v>478</v>
      </c>
      <c r="F31" s="207" t="s">
        <v>479</v>
      </c>
      <c r="G31" s="228" t="s">
        <v>572</v>
      </c>
      <c r="H31" s="229" t="s">
        <v>573</v>
      </c>
      <c r="I31" s="229" t="s">
        <v>574</v>
      </c>
    </row>
    <row r="32" customFormat="false" ht="23.85" hidden="false" customHeight="false" outlineLevel="0" collapsed="false">
      <c r="A32" s="208" t="n">
        <v>1</v>
      </c>
      <c r="B32" s="220" t="s">
        <v>576</v>
      </c>
      <c r="C32" s="208" t="s">
        <v>476</v>
      </c>
      <c r="D32" s="208" t="n">
        <v>1</v>
      </c>
      <c r="E32" s="221" t="n">
        <v>1561.06</v>
      </c>
      <c r="F32" s="210" t="n">
        <f aca="false">D32*E32</f>
        <v>1561.06</v>
      </c>
      <c r="G32" s="208" t="n">
        <v>60</v>
      </c>
      <c r="H32" s="210" t="n">
        <f aca="false">ROUND(F32*0.8,2)</f>
        <v>1248.85</v>
      </c>
      <c r="I32" s="210" t="n">
        <f aca="false">ROUND(H32/G32,2)</f>
        <v>20.81</v>
      </c>
    </row>
    <row r="33" customFormat="false" ht="14.4" hidden="false" customHeight="false" outlineLevel="0" collapsed="false">
      <c r="A33" s="208" t="n">
        <v>2</v>
      </c>
      <c r="B33" s="231" t="s">
        <v>577</v>
      </c>
      <c r="C33" s="208" t="s">
        <v>476</v>
      </c>
      <c r="D33" s="208" t="n">
        <v>2</v>
      </c>
      <c r="E33" s="221" t="n">
        <v>168.16</v>
      </c>
      <c r="F33" s="210" t="n">
        <f aca="false">E33*D33</f>
        <v>336.32</v>
      </c>
      <c r="G33" s="208" t="n">
        <v>60</v>
      </c>
      <c r="H33" s="210" t="n">
        <f aca="false">ROUND(F33*0.8,2)</f>
        <v>269.06</v>
      </c>
      <c r="I33" s="210" t="n">
        <f aca="false">ROUND(H33/G33,2)</f>
        <v>4.48</v>
      </c>
    </row>
    <row r="34" customFormat="false" ht="15" hidden="false" customHeight="true" outlineLevel="0" collapsed="false">
      <c r="A34" s="228" t="s">
        <v>363</v>
      </c>
      <c r="B34" s="228"/>
      <c r="C34" s="228"/>
      <c r="D34" s="228"/>
      <c r="E34" s="228"/>
      <c r="F34" s="233" t="n">
        <f aca="false">SUM(F32:F33)</f>
        <v>1897.38</v>
      </c>
      <c r="G34" s="234"/>
      <c r="H34" s="233"/>
      <c r="I34" s="235" t="n">
        <f aca="false">SUM(I32:I33)</f>
        <v>25.29</v>
      </c>
    </row>
    <row r="35" customFormat="false" ht="15" hidden="false" customHeight="true" outlineLevel="0" collapsed="false">
      <c r="A35" s="204" t="s">
        <v>544</v>
      </c>
      <c r="B35" s="204"/>
      <c r="C35" s="204"/>
      <c r="D35" s="204"/>
      <c r="E35" s="204"/>
      <c r="F35" s="204"/>
      <c r="G35" s="204"/>
      <c r="H35" s="204"/>
      <c r="I35" s="234" t="n">
        <v>7</v>
      </c>
    </row>
    <row r="36" customFormat="false" ht="15" hidden="false" customHeight="true" outlineLevel="0" collapsed="false">
      <c r="A36" s="204" t="s">
        <v>545</v>
      </c>
      <c r="B36" s="204"/>
      <c r="C36" s="204"/>
      <c r="D36" s="204"/>
      <c r="E36" s="204"/>
      <c r="F36" s="204"/>
      <c r="G36" s="204"/>
      <c r="H36" s="204"/>
      <c r="I36" s="235" t="n">
        <f aca="false">ROUND(I34/I35,2)</f>
        <v>3.61</v>
      </c>
    </row>
    <row r="37" customFormat="false" ht="14.4" hidden="false" customHeight="false" outlineLevel="0" collapsed="false">
      <c r="A37" s="226" t="s">
        <v>453</v>
      </c>
      <c r="B37" s="226"/>
      <c r="C37" s="226"/>
      <c r="D37" s="226"/>
      <c r="E37" s="226"/>
      <c r="F37" s="226"/>
      <c r="G37" s="226"/>
      <c r="H37" s="226"/>
      <c r="I37" s="226"/>
    </row>
    <row r="38" customFormat="false" ht="35.05" hidden="false" customHeight="false" outlineLevel="0" collapsed="false">
      <c r="A38" s="205" t="s">
        <v>1</v>
      </c>
      <c r="B38" s="205" t="s">
        <v>2</v>
      </c>
      <c r="C38" s="205" t="s">
        <v>476</v>
      </c>
      <c r="D38" s="205" t="s">
        <v>477</v>
      </c>
      <c r="E38" s="206" t="s">
        <v>478</v>
      </c>
      <c r="F38" s="207" t="s">
        <v>479</v>
      </c>
      <c r="G38" s="228" t="s">
        <v>572</v>
      </c>
      <c r="H38" s="229" t="s">
        <v>573</v>
      </c>
      <c r="I38" s="229" t="s">
        <v>574</v>
      </c>
    </row>
    <row r="39" customFormat="false" ht="23.85" hidden="false" customHeight="false" outlineLevel="0" collapsed="false">
      <c r="A39" s="208" t="n">
        <v>1</v>
      </c>
      <c r="B39" s="209" t="s">
        <v>578</v>
      </c>
      <c r="C39" s="208" t="s">
        <v>476</v>
      </c>
      <c r="D39" s="208" t="n">
        <v>3</v>
      </c>
      <c r="E39" s="221" t="n">
        <v>1287.17</v>
      </c>
      <c r="F39" s="210" t="n">
        <f aca="false">E39*D39</f>
        <v>3861.51</v>
      </c>
      <c r="G39" s="208" t="n">
        <v>60</v>
      </c>
      <c r="H39" s="210" t="n">
        <f aca="false">ROUND(F39*0.8,2)</f>
        <v>3089.21</v>
      </c>
      <c r="I39" s="210" t="n">
        <f aca="false">ROUND(H39/G39,2)</f>
        <v>51.49</v>
      </c>
    </row>
    <row r="40" customFormat="false" ht="15" hidden="false" customHeight="true" outlineLevel="0" collapsed="false">
      <c r="A40" s="228" t="s">
        <v>363</v>
      </c>
      <c r="B40" s="228"/>
      <c r="C40" s="228"/>
      <c r="D40" s="228"/>
      <c r="E40" s="228"/>
      <c r="F40" s="233" t="n">
        <f aca="false">SUM(F39:F39)</f>
        <v>3861.51</v>
      </c>
      <c r="G40" s="234"/>
      <c r="H40" s="233"/>
      <c r="I40" s="235" t="n">
        <f aca="false">SUM(I39:I39)</f>
        <v>51.49</v>
      </c>
    </row>
    <row r="41" customFormat="false" ht="15" hidden="false" customHeight="true" outlineLevel="0" collapsed="false">
      <c r="A41" s="204" t="s">
        <v>544</v>
      </c>
      <c r="B41" s="204"/>
      <c r="C41" s="204"/>
      <c r="D41" s="204"/>
      <c r="E41" s="204"/>
      <c r="F41" s="204"/>
      <c r="G41" s="204"/>
      <c r="H41" s="204"/>
      <c r="I41" s="234" t="n">
        <v>3</v>
      </c>
    </row>
    <row r="42" customFormat="false" ht="15" hidden="false" customHeight="true" outlineLevel="0" collapsed="false">
      <c r="A42" s="204" t="s">
        <v>545</v>
      </c>
      <c r="B42" s="204"/>
      <c r="C42" s="204"/>
      <c r="D42" s="204"/>
      <c r="E42" s="204"/>
      <c r="F42" s="204"/>
      <c r="G42" s="204"/>
      <c r="H42" s="204"/>
      <c r="I42" s="235" t="n">
        <f aca="false">ROUND(I40/I41,2)</f>
        <v>17.16</v>
      </c>
    </row>
    <row r="43" customFormat="false" ht="8.4" hidden="false" customHeight="true" outlineLevel="0" collapsed="false">
      <c r="E43" s="213"/>
      <c r="F43" s="213"/>
      <c r="H43" s="213"/>
      <c r="I43" s="213"/>
    </row>
    <row r="44" customFormat="false" ht="15" hidden="false" customHeight="true" outlineLevel="0" collapsed="false">
      <c r="A44" s="204" t="s">
        <v>561</v>
      </c>
      <c r="B44" s="204"/>
      <c r="C44" s="204"/>
      <c r="D44" s="204"/>
      <c r="E44" s="204"/>
      <c r="F44" s="204"/>
      <c r="G44" s="204"/>
      <c r="H44" s="204"/>
      <c r="I44" s="236" t="n">
        <f aca="false">SUM(I29)</f>
        <v>0.14</v>
      </c>
    </row>
    <row r="45" customFormat="false" ht="15" hidden="false" customHeight="true" outlineLevel="0" collapsed="false">
      <c r="A45" s="204" t="s">
        <v>562</v>
      </c>
      <c r="B45" s="204"/>
      <c r="C45" s="204"/>
      <c r="D45" s="204"/>
      <c r="E45" s="204"/>
      <c r="F45" s="204"/>
      <c r="G45" s="204"/>
      <c r="H45" s="204"/>
      <c r="I45" s="235" t="n">
        <f aca="false">SUM(I36+F10)</f>
        <v>6.54</v>
      </c>
    </row>
    <row r="46" customFormat="false" ht="15" hidden="false" customHeight="true" outlineLevel="0" collapsed="false">
      <c r="A46" s="204" t="s">
        <v>579</v>
      </c>
      <c r="B46" s="204"/>
      <c r="C46" s="204"/>
      <c r="D46" s="204"/>
      <c r="E46" s="204"/>
      <c r="F46" s="204"/>
      <c r="G46" s="204"/>
      <c r="H46" s="204"/>
      <c r="I46" s="237" t="n">
        <f aca="false">SUM(I42+F20)</f>
        <v>19.01</v>
      </c>
    </row>
    <row r="1048576" customFormat="false" ht="12.8" hidden="false" customHeight="false" outlineLevel="0" collapsed="false"/>
  </sheetData>
  <mergeCells count="27">
    <mergeCell ref="A1:F2"/>
    <mergeCell ref="A3:F3"/>
    <mergeCell ref="A8:E8"/>
    <mergeCell ref="A9:E9"/>
    <mergeCell ref="A10:E10"/>
    <mergeCell ref="A11:E11"/>
    <mergeCell ref="A13:F14"/>
    <mergeCell ref="A15:F15"/>
    <mergeCell ref="A18:E18"/>
    <mergeCell ref="A19:E19"/>
    <mergeCell ref="A20:E20"/>
    <mergeCell ref="A23:I23"/>
    <mergeCell ref="A24:I24"/>
    <mergeCell ref="A27:E27"/>
    <mergeCell ref="A28:H28"/>
    <mergeCell ref="A29:H29"/>
    <mergeCell ref="A30:I30"/>
    <mergeCell ref="A34:E34"/>
    <mergeCell ref="A35:H35"/>
    <mergeCell ref="A36:H36"/>
    <mergeCell ref="A37:I37"/>
    <mergeCell ref="A40:E40"/>
    <mergeCell ref="A41:H41"/>
    <mergeCell ref="A42:H42"/>
    <mergeCell ref="A44:H44"/>
    <mergeCell ref="A45:H45"/>
    <mergeCell ref="A46:H4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1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80" zoomScaleNormal="100" zoomScalePageLayoutView="80" workbookViewId="0">
      <selection pane="topLeft" activeCell="A13" activeCellId="0" sqref="A13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68.33"/>
    <col collapsed="false" customWidth="true" hidden="false" outlineLevel="0" max="3" min="3" style="1" width="11.11"/>
    <col collapsed="false" customWidth="true" hidden="false" outlineLevel="0" max="4" min="4" style="1" width="8.89"/>
    <col collapsed="false" customWidth="true" hidden="false" outlineLevel="0" max="5" min="5" style="1" width="11.64"/>
    <col collapsed="false" customWidth="true" hidden="false" outlineLevel="0" max="1025" min="6" style="1" width="14.43"/>
  </cols>
  <sheetData>
    <row r="1" customFormat="false" ht="14.4" hidden="false" customHeight="false" outlineLevel="0" collapsed="false">
      <c r="A1" s="205" t="s">
        <v>580</v>
      </c>
      <c r="B1" s="205"/>
      <c r="C1" s="205"/>
      <c r="D1" s="205"/>
      <c r="E1" s="205"/>
      <c r="F1" s="205"/>
    </row>
    <row r="2" customFormat="false" ht="14.4" hidden="false" customHeight="false" outlineLevel="0" collapsed="false">
      <c r="A2" s="226" t="s">
        <v>581</v>
      </c>
      <c r="B2" s="226"/>
      <c r="C2" s="226"/>
      <c r="D2" s="226"/>
      <c r="E2" s="226"/>
      <c r="F2" s="226"/>
    </row>
    <row r="3" customFormat="false" ht="23.85" hidden="false" customHeight="false" outlineLevel="0" collapsed="false">
      <c r="A3" s="205" t="s">
        <v>1</v>
      </c>
      <c r="B3" s="205" t="s">
        <v>2</v>
      </c>
      <c r="C3" s="204" t="s">
        <v>476</v>
      </c>
      <c r="D3" s="205" t="s">
        <v>477</v>
      </c>
      <c r="E3" s="206" t="s">
        <v>478</v>
      </c>
      <c r="F3" s="206" t="s">
        <v>479</v>
      </c>
    </row>
    <row r="4" customFormat="false" ht="23.85" hidden="false" customHeight="false" outlineLevel="0" collapsed="false">
      <c r="A4" s="208" t="n">
        <v>1</v>
      </c>
      <c r="B4" s="209" t="s">
        <v>582</v>
      </c>
      <c r="C4" s="208" t="s">
        <v>583</v>
      </c>
      <c r="D4" s="208" t="n">
        <v>2</v>
      </c>
      <c r="E4" s="210" t="n">
        <v>19.46</v>
      </c>
      <c r="F4" s="221" t="n">
        <f aca="false">E4*D4</f>
        <v>38.92</v>
      </c>
    </row>
    <row r="5" customFormat="false" ht="14.4" hidden="false" customHeight="false" outlineLevel="0" collapsed="false">
      <c r="A5" s="208" t="n">
        <v>2</v>
      </c>
      <c r="B5" s="209" t="s">
        <v>584</v>
      </c>
      <c r="C5" s="208" t="s">
        <v>476</v>
      </c>
      <c r="D5" s="208" t="n">
        <v>1</v>
      </c>
      <c r="E5" s="210" t="n">
        <v>21.62</v>
      </c>
      <c r="F5" s="221" t="n">
        <f aca="false">E5*D5</f>
        <v>21.62</v>
      </c>
    </row>
    <row r="6" customFormat="false" ht="35.05" hidden="false" customHeight="false" outlineLevel="0" collapsed="false">
      <c r="A6" s="208" t="n">
        <v>3</v>
      </c>
      <c r="B6" s="209" t="s">
        <v>585</v>
      </c>
      <c r="C6" s="208" t="s">
        <v>476</v>
      </c>
      <c r="D6" s="208" t="n">
        <v>1</v>
      </c>
      <c r="E6" s="210" t="n">
        <v>10.1</v>
      </c>
      <c r="F6" s="221" t="n">
        <f aca="false">E6*D6</f>
        <v>10.1</v>
      </c>
    </row>
    <row r="7" customFormat="false" ht="14.4" hidden="false" customHeight="false" outlineLevel="0" collapsed="false">
      <c r="A7" s="238" t="s">
        <v>363</v>
      </c>
      <c r="B7" s="238"/>
      <c r="C7" s="238"/>
      <c r="D7" s="238"/>
      <c r="E7" s="238"/>
      <c r="F7" s="239" t="n">
        <f aca="false">SUM(F4:F6)</f>
        <v>70.64</v>
      </c>
    </row>
    <row r="8" customFormat="false" ht="14.4" hidden="false" customHeight="false" outlineLevel="0" collapsed="false">
      <c r="A8" s="238" t="s">
        <v>586</v>
      </c>
      <c r="B8" s="238"/>
      <c r="C8" s="238"/>
      <c r="D8" s="238"/>
      <c r="E8" s="238"/>
      <c r="F8" s="239" t="n">
        <f aca="false">(F7/6)</f>
        <v>11.7733333333333</v>
      </c>
    </row>
    <row r="9" customFormat="false" ht="14.4" hidden="false" customHeight="false" outlineLevel="0" collapsed="false">
      <c r="A9" s="11"/>
      <c r="B9" s="11"/>
      <c r="C9" s="11"/>
      <c r="D9" s="11"/>
      <c r="E9" s="240"/>
      <c r="F9" s="240"/>
    </row>
    <row r="10" customFormat="false" ht="14.4" hidden="false" customHeight="false" outlineLevel="0" collapsed="false">
      <c r="A10" s="226" t="s">
        <v>587</v>
      </c>
      <c r="B10" s="226"/>
      <c r="C10" s="226"/>
      <c r="D10" s="226"/>
      <c r="E10" s="226"/>
      <c r="F10" s="226"/>
    </row>
    <row r="11" customFormat="false" ht="23.85" hidden="false" customHeight="false" outlineLevel="0" collapsed="false">
      <c r="A11" s="205" t="s">
        <v>1</v>
      </c>
      <c r="B11" s="205" t="s">
        <v>2</v>
      </c>
      <c r="C11" s="204" t="s">
        <v>476</v>
      </c>
      <c r="D11" s="205" t="s">
        <v>477</v>
      </c>
      <c r="E11" s="206" t="s">
        <v>478</v>
      </c>
      <c r="F11" s="206" t="s">
        <v>479</v>
      </c>
    </row>
    <row r="12" customFormat="false" ht="35.05" hidden="false" customHeight="false" outlineLevel="0" collapsed="false">
      <c r="A12" s="208" t="n">
        <v>1</v>
      </c>
      <c r="B12" s="209" t="s">
        <v>588</v>
      </c>
      <c r="C12" s="208" t="s">
        <v>583</v>
      </c>
      <c r="D12" s="208" t="n">
        <v>10</v>
      </c>
      <c r="E12" s="210" t="n">
        <v>5.3</v>
      </c>
      <c r="F12" s="221" t="n">
        <f aca="false">E12*D12</f>
        <v>53</v>
      </c>
    </row>
    <row r="13" customFormat="false" ht="14.4" hidden="false" customHeight="false" outlineLevel="0" collapsed="false">
      <c r="A13" s="238" t="s">
        <v>363</v>
      </c>
      <c r="B13" s="238"/>
      <c r="C13" s="238"/>
      <c r="D13" s="238"/>
      <c r="E13" s="238"/>
      <c r="F13" s="239" t="n">
        <f aca="false">SUM(F12:F12)</f>
        <v>53</v>
      </c>
    </row>
    <row r="14" customFormat="false" ht="14.4" hidden="false" customHeight="false" outlineLevel="0" collapsed="false">
      <c r="A14" s="238" t="s">
        <v>586</v>
      </c>
      <c r="B14" s="238"/>
      <c r="C14" s="238"/>
      <c r="D14" s="238"/>
      <c r="E14" s="238"/>
      <c r="F14" s="239" t="n">
        <f aca="false">F13</f>
        <v>53</v>
      </c>
    </row>
    <row r="15" customFormat="false" ht="14.4" hidden="false" customHeight="false" outlineLevel="0" collapsed="false">
      <c r="A15" s="11"/>
      <c r="B15" s="11"/>
      <c r="C15" s="11"/>
      <c r="D15" s="11"/>
      <c r="E15" s="240"/>
      <c r="F15" s="240"/>
    </row>
    <row r="16" customFormat="false" ht="14.4" hidden="false" customHeight="false" outlineLevel="0" collapsed="false">
      <c r="A16" s="226" t="s">
        <v>589</v>
      </c>
      <c r="B16" s="226"/>
      <c r="C16" s="226"/>
      <c r="D16" s="226"/>
      <c r="E16" s="226"/>
      <c r="F16" s="226"/>
    </row>
    <row r="17" customFormat="false" ht="23.85" hidden="false" customHeight="false" outlineLevel="0" collapsed="false">
      <c r="A17" s="205" t="s">
        <v>1</v>
      </c>
      <c r="B17" s="205" t="s">
        <v>2</v>
      </c>
      <c r="C17" s="204" t="s">
        <v>476</v>
      </c>
      <c r="D17" s="205" t="s">
        <v>477</v>
      </c>
      <c r="E17" s="206" t="s">
        <v>478</v>
      </c>
      <c r="F17" s="206" t="s">
        <v>479</v>
      </c>
    </row>
    <row r="18" customFormat="false" ht="14.4" hidden="false" customHeight="false" outlineLevel="0" collapsed="false">
      <c r="A18" s="208" t="n">
        <v>1</v>
      </c>
      <c r="B18" s="209" t="s">
        <v>590</v>
      </c>
      <c r="C18" s="208" t="s">
        <v>476</v>
      </c>
      <c r="D18" s="208" t="n">
        <v>10</v>
      </c>
      <c r="E18" s="210" t="n">
        <v>5.12</v>
      </c>
      <c r="F18" s="221" t="n">
        <f aca="false">E18*D18</f>
        <v>51.2</v>
      </c>
    </row>
    <row r="19" customFormat="false" ht="35.05" hidden="false" customHeight="false" outlineLevel="0" collapsed="false">
      <c r="A19" s="208" t="n">
        <v>2</v>
      </c>
      <c r="B19" s="241" t="s">
        <v>588</v>
      </c>
      <c r="C19" s="208" t="s">
        <v>476</v>
      </c>
      <c r="D19" s="208" t="n">
        <v>10</v>
      </c>
      <c r="E19" s="210" t="n">
        <v>5.3</v>
      </c>
      <c r="F19" s="221" t="n">
        <f aca="false">E19*D19</f>
        <v>53</v>
      </c>
    </row>
    <row r="20" customFormat="false" ht="14.4" hidden="false" customHeight="false" outlineLevel="0" collapsed="false">
      <c r="A20" s="238" t="s">
        <v>363</v>
      </c>
      <c r="B20" s="238"/>
      <c r="C20" s="238"/>
      <c r="D20" s="238"/>
      <c r="E20" s="238"/>
      <c r="F20" s="239" t="n">
        <f aca="false">SUM(F18:F19)</f>
        <v>104.2</v>
      </c>
    </row>
    <row r="21" customFormat="false" ht="14.4" hidden="false" customHeight="false" outlineLevel="0" collapsed="false">
      <c r="A21" s="238" t="s">
        <v>586</v>
      </c>
      <c r="B21" s="238"/>
      <c r="C21" s="238"/>
      <c r="D21" s="238"/>
      <c r="E21" s="238"/>
      <c r="F21" s="239" t="n">
        <f aca="false">F20</f>
        <v>104.2</v>
      </c>
    </row>
    <row r="22" customFormat="false" ht="14.4" hidden="false" customHeight="false" outlineLevel="0" collapsed="false">
      <c r="A22" s="11"/>
      <c r="B22" s="11"/>
      <c r="C22" s="11"/>
      <c r="D22" s="11"/>
      <c r="E22" s="240"/>
      <c r="F22" s="240"/>
    </row>
    <row r="23" customFormat="false" ht="14.4" hidden="false" customHeight="false" outlineLevel="0" collapsed="false">
      <c r="A23" s="226" t="s">
        <v>591</v>
      </c>
      <c r="B23" s="226"/>
      <c r="C23" s="226"/>
      <c r="D23" s="226"/>
      <c r="E23" s="226"/>
      <c r="F23" s="226"/>
    </row>
    <row r="24" customFormat="false" ht="23.85" hidden="false" customHeight="false" outlineLevel="0" collapsed="false">
      <c r="A24" s="205" t="s">
        <v>1</v>
      </c>
      <c r="B24" s="205" t="s">
        <v>2</v>
      </c>
      <c r="C24" s="204" t="s">
        <v>476</v>
      </c>
      <c r="D24" s="205" t="s">
        <v>477</v>
      </c>
      <c r="E24" s="206" t="s">
        <v>478</v>
      </c>
      <c r="F24" s="206" t="s">
        <v>479</v>
      </c>
    </row>
    <row r="25" customFormat="false" ht="14.4" hidden="false" customHeight="false" outlineLevel="0" collapsed="false">
      <c r="A25" s="208" t="n">
        <v>1</v>
      </c>
      <c r="B25" s="209" t="s">
        <v>592</v>
      </c>
      <c r="C25" s="208" t="s">
        <v>476</v>
      </c>
      <c r="D25" s="208" t="n">
        <v>1</v>
      </c>
      <c r="E25" s="210" t="n">
        <v>50.34</v>
      </c>
      <c r="F25" s="221" t="n">
        <f aca="false">E25*D25</f>
        <v>50.34</v>
      </c>
    </row>
    <row r="26" customFormat="false" ht="23.85" hidden="false" customHeight="false" outlineLevel="0" collapsed="false">
      <c r="A26" s="208" t="n">
        <v>2</v>
      </c>
      <c r="B26" s="209" t="s">
        <v>593</v>
      </c>
      <c r="C26" s="208" t="s">
        <v>476</v>
      </c>
      <c r="D26" s="208" t="n">
        <v>1</v>
      </c>
      <c r="E26" s="210" t="n">
        <v>1545.96</v>
      </c>
      <c r="F26" s="221" t="n">
        <f aca="false">E26*D26</f>
        <v>1545.96</v>
      </c>
    </row>
    <row r="27" customFormat="false" ht="23.85" hidden="false" customHeight="false" outlineLevel="0" collapsed="false">
      <c r="A27" s="208" t="n">
        <v>3</v>
      </c>
      <c r="B27" s="209" t="s">
        <v>594</v>
      </c>
      <c r="C27" s="208" t="s">
        <v>476</v>
      </c>
      <c r="D27" s="208" t="n">
        <v>50</v>
      </c>
      <c r="E27" s="210" t="n">
        <v>2.51</v>
      </c>
      <c r="F27" s="221" t="n">
        <f aca="false">E27*D27</f>
        <v>125.5</v>
      </c>
    </row>
    <row r="28" customFormat="false" ht="23.85" hidden="false" customHeight="false" outlineLevel="0" collapsed="false">
      <c r="A28" s="208" t="n">
        <v>4</v>
      </c>
      <c r="B28" s="209" t="s">
        <v>582</v>
      </c>
      <c r="C28" s="208" t="s">
        <v>583</v>
      </c>
      <c r="D28" s="208" t="n">
        <v>1</v>
      </c>
      <c r="E28" s="210" t="n">
        <v>19.46</v>
      </c>
      <c r="F28" s="221" t="n">
        <f aca="false">E28*D28</f>
        <v>19.46</v>
      </c>
    </row>
    <row r="29" customFormat="false" ht="14.4" hidden="false" customHeight="false" outlineLevel="0" collapsed="false">
      <c r="A29" s="208" t="n">
        <v>5</v>
      </c>
      <c r="B29" s="209" t="s">
        <v>584</v>
      </c>
      <c r="C29" s="208" t="s">
        <v>476</v>
      </c>
      <c r="D29" s="208" t="n">
        <v>1</v>
      </c>
      <c r="E29" s="210" t="n">
        <v>21.62</v>
      </c>
      <c r="F29" s="221" t="n">
        <f aca="false">E29*D29</f>
        <v>21.62</v>
      </c>
    </row>
    <row r="30" customFormat="false" ht="14.4" hidden="false" customHeight="false" outlineLevel="0" collapsed="false">
      <c r="A30" s="242" t="s">
        <v>363</v>
      </c>
      <c r="B30" s="242"/>
      <c r="C30" s="242"/>
      <c r="D30" s="242"/>
      <c r="E30" s="242"/>
      <c r="F30" s="243" t="n">
        <f aca="false">SUM(F25:F29)</f>
        <v>1762.88</v>
      </c>
    </row>
    <row r="31" customFormat="false" ht="14.4" hidden="false" customHeight="false" outlineLevel="0" collapsed="false">
      <c r="A31" s="238" t="s">
        <v>586</v>
      </c>
      <c r="B31" s="238"/>
      <c r="C31" s="238"/>
      <c r="D31" s="238"/>
      <c r="E31" s="238"/>
      <c r="F31" s="239" t="n">
        <f aca="false">ROUND(F30/6,2)</f>
        <v>293.81</v>
      </c>
    </row>
    <row r="32" customFormat="false" ht="32.2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F1"/>
    <mergeCell ref="A2:F2"/>
    <mergeCell ref="A7:E7"/>
    <mergeCell ref="A8:E8"/>
    <mergeCell ref="A10:F10"/>
    <mergeCell ref="A13:E13"/>
    <mergeCell ref="A14:E14"/>
    <mergeCell ref="A16:F16"/>
    <mergeCell ref="A20:E20"/>
    <mergeCell ref="A21:E21"/>
    <mergeCell ref="A23:F23"/>
    <mergeCell ref="A30:E30"/>
    <mergeCell ref="A31:E31"/>
  </mergeCells>
  <printOptions headings="false" gridLines="false" gridLinesSet="true" horizontalCentered="false" verticalCentered="false"/>
  <pageMargins left="0.7875" right="0.7875" top="1.05277777777778" bottom="1.05277777777778" header="0" footer="0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31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selection pane="topLeft" activeCell="B29" activeCellId="0" sqref="B29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50"/>
    <col collapsed="false" customWidth="true" hidden="false" outlineLevel="0" max="3" min="3" style="1" width="9.44"/>
    <col collapsed="false" customWidth="true" hidden="false" outlineLevel="0" max="4" min="4" style="1" width="11.33"/>
    <col collapsed="false" customWidth="true" hidden="false" outlineLevel="0" max="5" min="5" style="1" width="13.89"/>
    <col collapsed="false" customWidth="true" hidden="false" outlineLevel="0" max="6" min="6" style="1" width="9.56"/>
    <col collapsed="false" customWidth="true" hidden="false" outlineLevel="0" max="7" min="7" style="1" width="14.01"/>
    <col collapsed="false" customWidth="true" hidden="false" outlineLevel="0" max="27" min="8" style="1" width="10.45"/>
    <col collapsed="false" customWidth="true" hidden="false" outlineLevel="0" max="1025" min="28" style="1" width="14.43"/>
  </cols>
  <sheetData>
    <row r="1" customFormat="false" ht="14.4" hidden="false" customHeight="false" outlineLevel="0" collapsed="false">
      <c r="A1" s="205" t="s">
        <v>595</v>
      </c>
      <c r="B1" s="205"/>
      <c r="C1" s="205"/>
      <c r="D1" s="205"/>
      <c r="E1" s="205"/>
      <c r="F1" s="205"/>
      <c r="G1" s="205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</row>
    <row r="2" customFormat="false" ht="14.4" hidden="false" customHeight="false" outlineLevel="0" collapsed="false">
      <c r="A2" s="226" t="s">
        <v>596</v>
      </c>
      <c r="B2" s="226"/>
      <c r="C2" s="226"/>
      <c r="D2" s="226"/>
      <c r="E2" s="226"/>
      <c r="F2" s="226"/>
      <c r="G2" s="226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customFormat="false" ht="23.85" hidden="false" customHeight="false" outlineLevel="0" collapsed="false">
      <c r="A3" s="205" t="s">
        <v>1</v>
      </c>
      <c r="B3" s="205" t="s">
        <v>2</v>
      </c>
      <c r="C3" s="205" t="s">
        <v>476</v>
      </c>
      <c r="D3" s="205" t="s">
        <v>597</v>
      </c>
      <c r="E3" s="204" t="s">
        <v>598</v>
      </c>
      <c r="F3" s="206" t="s">
        <v>478</v>
      </c>
      <c r="G3" s="207" t="s">
        <v>479</v>
      </c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customFormat="false" ht="35.05" hidden="false" customHeight="false" outlineLevel="0" collapsed="false">
      <c r="A4" s="245" t="n">
        <v>1</v>
      </c>
      <c r="B4" s="246" t="s">
        <v>599</v>
      </c>
      <c r="C4" s="247" t="s">
        <v>583</v>
      </c>
      <c r="D4" s="247" t="s">
        <v>600</v>
      </c>
      <c r="E4" s="245" t="n">
        <v>1</v>
      </c>
      <c r="F4" s="248" t="n">
        <v>43.66</v>
      </c>
      <c r="G4" s="248" t="n">
        <f aca="false">F4*E4</f>
        <v>43.66</v>
      </c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</row>
    <row r="5" customFormat="false" ht="24.3" hidden="false" customHeight="true" outlineLevel="0" collapsed="false">
      <c r="A5" s="245" t="n">
        <v>2</v>
      </c>
      <c r="B5" s="209" t="s">
        <v>601</v>
      </c>
      <c r="C5" s="21" t="s">
        <v>476</v>
      </c>
      <c r="D5" s="21" t="s">
        <v>600</v>
      </c>
      <c r="E5" s="208" t="n">
        <v>2</v>
      </c>
      <c r="F5" s="210" t="n">
        <v>53.51</v>
      </c>
      <c r="G5" s="210" t="n">
        <f aca="false">F5*E5</f>
        <v>107.02</v>
      </c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</row>
    <row r="6" customFormat="false" ht="23.85" hidden="false" customHeight="false" outlineLevel="0" collapsed="false">
      <c r="A6" s="245" t="n">
        <v>3</v>
      </c>
      <c r="B6" s="209" t="s">
        <v>602</v>
      </c>
      <c r="C6" s="21" t="s">
        <v>476</v>
      </c>
      <c r="D6" s="21" t="s">
        <v>600</v>
      </c>
      <c r="E6" s="208" t="n">
        <v>2</v>
      </c>
      <c r="F6" s="210" t="n">
        <v>33.73</v>
      </c>
      <c r="G6" s="210" t="n">
        <f aca="false">F6*E6</f>
        <v>67.46</v>
      </c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</row>
    <row r="7" customFormat="false" ht="30" hidden="false" customHeight="true" outlineLevel="0" collapsed="false">
      <c r="A7" s="245" t="n">
        <v>4</v>
      </c>
      <c r="B7" s="209" t="s">
        <v>603</v>
      </c>
      <c r="C7" s="21" t="s">
        <v>476</v>
      </c>
      <c r="D7" s="21" t="s">
        <v>600</v>
      </c>
      <c r="E7" s="208" t="n">
        <v>1</v>
      </c>
      <c r="F7" s="210" t="n">
        <v>6.99</v>
      </c>
      <c r="G7" s="210" t="n">
        <f aca="false">F7*E7</f>
        <v>6.99</v>
      </c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</row>
    <row r="8" customFormat="false" ht="25.35" hidden="false" customHeight="true" outlineLevel="0" collapsed="false">
      <c r="A8" s="245" t="n">
        <v>5</v>
      </c>
      <c r="B8" s="249" t="s">
        <v>604</v>
      </c>
      <c r="C8" s="21" t="s">
        <v>583</v>
      </c>
      <c r="D8" s="21" t="s">
        <v>600</v>
      </c>
      <c r="E8" s="208" t="n">
        <v>4</v>
      </c>
      <c r="F8" s="210" t="n">
        <v>7.51</v>
      </c>
      <c r="G8" s="210" t="n">
        <f aca="false">F8*E8</f>
        <v>30.04</v>
      </c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</row>
    <row r="9" customFormat="false" ht="35.05" hidden="false" customHeight="false" outlineLevel="0" collapsed="false">
      <c r="A9" s="208" t="n">
        <v>6</v>
      </c>
      <c r="B9" s="249" t="s">
        <v>605</v>
      </c>
      <c r="C9" s="21" t="s">
        <v>583</v>
      </c>
      <c r="D9" s="21" t="s">
        <v>600</v>
      </c>
      <c r="E9" s="208" t="n">
        <v>1</v>
      </c>
      <c r="F9" s="210" t="n">
        <v>55.44</v>
      </c>
      <c r="G9" s="210" t="n">
        <f aca="false">F9*E9</f>
        <v>55.44</v>
      </c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</row>
    <row r="10" customFormat="false" ht="14.4" hidden="false" customHeight="false" outlineLevel="0" collapsed="false">
      <c r="A10" s="250" t="s">
        <v>479</v>
      </c>
      <c r="B10" s="250"/>
      <c r="C10" s="250"/>
      <c r="D10" s="250"/>
      <c r="E10" s="250"/>
      <c r="F10" s="250"/>
      <c r="G10" s="251" t="n">
        <f aca="false">SUM(G4:G9)</f>
        <v>310.61</v>
      </c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</row>
    <row r="11" customFormat="false" ht="14.4" hidden="false" customHeight="false" outlineLevel="0" collapsed="false">
      <c r="A11" s="238" t="s">
        <v>606</v>
      </c>
      <c r="B11" s="238"/>
      <c r="C11" s="238"/>
      <c r="D11" s="238"/>
      <c r="E11" s="238"/>
      <c r="F11" s="238"/>
      <c r="G11" s="252" t="n">
        <f aca="false">ROUND(G10/6,2)</f>
        <v>51.77</v>
      </c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</row>
    <row r="12" customFormat="false" ht="14.4" hidden="false" customHeight="false" outlineLevel="0" collapsed="false">
      <c r="A12" s="11"/>
      <c r="B12" s="11"/>
      <c r="C12" s="11"/>
      <c r="D12" s="11"/>
      <c r="E12" s="11"/>
      <c r="F12" s="240"/>
      <c r="G12" s="240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</row>
    <row r="13" customFormat="false" ht="14.4" hidden="false" customHeight="false" outlineLevel="0" collapsed="false">
      <c r="A13" s="226" t="s">
        <v>607</v>
      </c>
      <c r="B13" s="226"/>
      <c r="C13" s="226"/>
      <c r="D13" s="226"/>
      <c r="E13" s="226"/>
      <c r="F13" s="226"/>
      <c r="G13" s="226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</row>
    <row r="14" customFormat="false" ht="23.85" hidden="false" customHeight="false" outlineLevel="0" collapsed="false">
      <c r="A14" s="205" t="s">
        <v>1</v>
      </c>
      <c r="B14" s="205" t="s">
        <v>2</v>
      </c>
      <c r="C14" s="205" t="s">
        <v>476</v>
      </c>
      <c r="D14" s="205" t="s">
        <v>597</v>
      </c>
      <c r="E14" s="204" t="s">
        <v>598</v>
      </c>
      <c r="F14" s="206" t="s">
        <v>478</v>
      </c>
      <c r="G14" s="207" t="s">
        <v>479</v>
      </c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</row>
    <row r="15" customFormat="false" ht="14.4" hidden="false" customHeight="false" outlineLevel="0" collapsed="false">
      <c r="A15" s="208" t="n">
        <v>1</v>
      </c>
      <c r="B15" s="209" t="s">
        <v>601</v>
      </c>
      <c r="C15" s="21" t="s">
        <v>476</v>
      </c>
      <c r="D15" s="21" t="s">
        <v>600</v>
      </c>
      <c r="E15" s="208" t="n">
        <v>2</v>
      </c>
      <c r="F15" s="210" t="n">
        <v>53.51</v>
      </c>
      <c r="G15" s="210" t="n">
        <f aca="false">F15*E15</f>
        <v>107.02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</row>
    <row r="16" customFormat="false" ht="23.85" hidden="false" customHeight="false" outlineLevel="0" collapsed="false">
      <c r="A16" s="208" t="n">
        <v>2</v>
      </c>
      <c r="B16" s="209" t="s">
        <v>602</v>
      </c>
      <c r="C16" s="21" t="s">
        <v>476</v>
      </c>
      <c r="D16" s="21" t="s">
        <v>600</v>
      </c>
      <c r="E16" s="208" t="n">
        <v>2</v>
      </c>
      <c r="F16" s="210" t="n">
        <v>33.73</v>
      </c>
      <c r="G16" s="210" t="n">
        <f aca="false">F16*E16</f>
        <v>67.46</v>
      </c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</row>
    <row r="17" customFormat="false" ht="26.25" hidden="false" customHeight="true" outlineLevel="0" collapsed="false">
      <c r="A17" s="208" t="n">
        <v>3</v>
      </c>
      <c r="B17" s="209" t="s">
        <v>603</v>
      </c>
      <c r="C17" s="21" t="s">
        <v>476</v>
      </c>
      <c r="D17" s="21" t="s">
        <v>600</v>
      </c>
      <c r="E17" s="208" t="n">
        <v>1</v>
      </c>
      <c r="F17" s="210" t="n">
        <v>6.99</v>
      </c>
      <c r="G17" s="210" t="n">
        <f aca="false">F17*E17</f>
        <v>6.99</v>
      </c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</row>
    <row r="18" customFormat="false" ht="14.4" hidden="false" customHeight="false" outlineLevel="0" collapsed="false">
      <c r="A18" s="208" t="n">
        <v>4</v>
      </c>
      <c r="B18" s="209" t="s">
        <v>604</v>
      </c>
      <c r="C18" s="21" t="s">
        <v>583</v>
      </c>
      <c r="D18" s="21" t="s">
        <v>600</v>
      </c>
      <c r="E18" s="208" t="n">
        <v>4</v>
      </c>
      <c r="F18" s="210" t="n">
        <v>7.51</v>
      </c>
      <c r="G18" s="210" t="n">
        <f aca="false">F18*E18</f>
        <v>30.04</v>
      </c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</row>
    <row r="19" customFormat="false" ht="35.05" hidden="false" customHeight="false" outlineLevel="0" collapsed="false">
      <c r="A19" s="208" t="n">
        <v>5</v>
      </c>
      <c r="B19" s="209" t="s">
        <v>605</v>
      </c>
      <c r="C19" s="21" t="s">
        <v>583</v>
      </c>
      <c r="D19" s="21" t="s">
        <v>600</v>
      </c>
      <c r="E19" s="208" t="n">
        <v>1</v>
      </c>
      <c r="F19" s="210" t="n">
        <v>55.44</v>
      </c>
      <c r="G19" s="210" t="n">
        <f aca="false">F19*E19</f>
        <v>55.44</v>
      </c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</row>
    <row r="20" customFormat="false" ht="14.4" hidden="false" customHeight="false" outlineLevel="0" collapsed="false">
      <c r="A20" s="238" t="s">
        <v>479</v>
      </c>
      <c r="B20" s="238"/>
      <c r="C20" s="238"/>
      <c r="D20" s="238"/>
      <c r="E20" s="238"/>
      <c r="F20" s="238"/>
      <c r="G20" s="252" t="n">
        <f aca="false">SUM(G15:G19)</f>
        <v>266.95</v>
      </c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</row>
    <row r="21" customFormat="false" ht="14.4" hidden="false" customHeight="false" outlineLevel="0" collapsed="false">
      <c r="A21" s="238" t="s">
        <v>606</v>
      </c>
      <c r="B21" s="238"/>
      <c r="C21" s="238"/>
      <c r="D21" s="238"/>
      <c r="E21" s="238"/>
      <c r="F21" s="238"/>
      <c r="G21" s="252" t="n">
        <f aca="false">ROUND(G20/6,2)</f>
        <v>44.49</v>
      </c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</row>
    <row r="22" customFormat="false" ht="14.4" hidden="false" customHeight="false" outlineLevel="0" collapsed="false">
      <c r="A22" s="11"/>
      <c r="B22" s="11"/>
      <c r="C22" s="11"/>
      <c r="D22" s="11"/>
      <c r="E22" s="11"/>
      <c r="F22" s="240"/>
      <c r="G22" s="240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</row>
    <row r="23" customFormat="false" ht="14.4" hidden="false" customHeight="false" outlineLevel="0" collapsed="false">
      <c r="A23" s="226" t="s">
        <v>608</v>
      </c>
      <c r="B23" s="226"/>
      <c r="C23" s="226"/>
      <c r="D23" s="226"/>
      <c r="E23" s="226"/>
      <c r="F23" s="226"/>
      <c r="G23" s="226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</row>
    <row r="24" customFormat="false" ht="23.85" hidden="false" customHeight="false" outlineLevel="0" collapsed="false">
      <c r="A24" s="205" t="s">
        <v>1</v>
      </c>
      <c r="B24" s="205" t="s">
        <v>2</v>
      </c>
      <c r="C24" s="205" t="s">
        <v>476</v>
      </c>
      <c r="D24" s="205" t="s">
        <v>597</v>
      </c>
      <c r="E24" s="204" t="s">
        <v>598</v>
      </c>
      <c r="F24" s="206" t="s">
        <v>478</v>
      </c>
      <c r="G24" s="207" t="s">
        <v>479</v>
      </c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</row>
    <row r="25" customFormat="false" ht="14.4" hidden="false" customHeight="false" outlineLevel="0" collapsed="false">
      <c r="A25" s="208" t="n">
        <v>1</v>
      </c>
      <c r="B25" s="209" t="s">
        <v>601</v>
      </c>
      <c r="C25" s="21" t="s">
        <v>476</v>
      </c>
      <c r="D25" s="21" t="s">
        <v>600</v>
      </c>
      <c r="E25" s="208" t="n">
        <v>2</v>
      </c>
      <c r="F25" s="210" t="n">
        <v>54.09</v>
      </c>
      <c r="G25" s="210" t="n">
        <f aca="false">F25*E25</f>
        <v>108.18</v>
      </c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</row>
    <row r="26" customFormat="false" ht="24.6" hidden="false" customHeight="true" outlineLevel="0" collapsed="false">
      <c r="A26" s="208" t="n">
        <v>2</v>
      </c>
      <c r="B26" s="209" t="s">
        <v>603</v>
      </c>
      <c r="C26" s="208" t="s">
        <v>476</v>
      </c>
      <c r="D26" s="208" t="s">
        <v>600</v>
      </c>
      <c r="E26" s="208" t="n">
        <v>1</v>
      </c>
      <c r="F26" s="210" t="n">
        <v>6.99</v>
      </c>
      <c r="G26" s="210" t="n">
        <f aca="false">F26*E26</f>
        <v>6.99</v>
      </c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</row>
    <row r="27" customFormat="false" ht="19.65" hidden="false" customHeight="true" outlineLevel="0" collapsed="false">
      <c r="A27" s="208" t="n">
        <v>3</v>
      </c>
      <c r="B27" s="253" t="s">
        <v>604</v>
      </c>
      <c r="C27" s="208" t="s">
        <v>583</v>
      </c>
      <c r="D27" s="208" t="s">
        <v>600</v>
      </c>
      <c r="E27" s="208" t="n">
        <v>4</v>
      </c>
      <c r="F27" s="210" t="n">
        <v>7.51</v>
      </c>
      <c r="G27" s="210" t="n">
        <f aca="false">F27*E27</f>
        <v>30.04</v>
      </c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</row>
    <row r="28" customFormat="false" ht="37.5" hidden="false" customHeight="true" outlineLevel="0" collapsed="false">
      <c r="A28" s="208" t="n">
        <v>4</v>
      </c>
      <c r="B28" s="209" t="s">
        <v>605</v>
      </c>
      <c r="C28" s="208" t="s">
        <v>583</v>
      </c>
      <c r="D28" s="208" t="s">
        <v>600</v>
      </c>
      <c r="E28" s="208" t="n">
        <v>1</v>
      </c>
      <c r="F28" s="210" t="n">
        <v>55.44</v>
      </c>
      <c r="G28" s="210" t="n">
        <f aca="false">F28*E28</f>
        <v>55.44</v>
      </c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</row>
    <row r="29" customFormat="false" ht="23.85" hidden="false" customHeight="false" outlineLevel="0" collapsed="false">
      <c r="A29" s="208" t="n">
        <v>5</v>
      </c>
      <c r="B29" s="209" t="s">
        <v>609</v>
      </c>
      <c r="C29" s="208" t="s">
        <v>476</v>
      </c>
      <c r="D29" s="208" t="s">
        <v>600</v>
      </c>
      <c r="E29" s="208" t="n">
        <v>2</v>
      </c>
      <c r="F29" s="210" t="n">
        <v>37.12</v>
      </c>
      <c r="G29" s="210" t="n">
        <f aca="false">F29*E29</f>
        <v>74.24</v>
      </c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</row>
    <row r="30" customFormat="false" ht="14.4" hidden="false" customHeight="false" outlineLevel="0" collapsed="false">
      <c r="A30" s="238" t="s">
        <v>479</v>
      </c>
      <c r="B30" s="238"/>
      <c r="C30" s="238"/>
      <c r="D30" s="238"/>
      <c r="E30" s="238"/>
      <c r="F30" s="238"/>
      <c r="G30" s="252" t="n">
        <f aca="false">SUM(G25:G29)</f>
        <v>274.89</v>
      </c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</row>
    <row r="31" customFormat="false" ht="14.4" hidden="false" customHeight="false" outlineLevel="0" collapsed="false">
      <c r="A31" s="238" t="s">
        <v>606</v>
      </c>
      <c r="B31" s="238"/>
      <c r="C31" s="238"/>
      <c r="D31" s="238"/>
      <c r="E31" s="238"/>
      <c r="F31" s="238"/>
      <c r="G31" s="252" t="n">
        <f aca="false">ROUND(G30/6,2)</f>
        <v>45.82</v>
      </c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</row>
  </sheetData>
  <mergeCells count="10">
    <mergeCell ref="A1:G1"/>
    <mergeCell ref="A2:G2"/>
    <mergeCell ref="A10:F10"/>
    <mergeCell ref="A11:F11"/>
    <mergeCell ref="A13:G13"/>
    <mergeCell ref="A20:F20"/>
    <mergeCell ref="A21:F21"/>
    <mergeCell ref="A23:G23"/>
    <mergeCell ref="A30:F30"/>
    <mergeCell ref="A31:F31"/>
  </mergeCells>
  <printOptions headings="false" gridLines="false" gridLinesSet="true" horizontalCentered="false" verticalCentered="false"/>
  <pageMargins left="0.7875" right="0.7875" top="1.05277777777778" bottom="1.05277777777778" header="0" footer="0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LibreOffice/24.2.6.2$Windows_X86_64 LibreOffice_project/ef66aa7e36a1bb8e65bfbc63aba53045a14d0871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2023-05-30T10:38:00Z</dcterms:created>
  <dc:creator>CPL Renato Pires</dc:creator>
  <dc:description/>
  <dc:language>pt-BR</dc:language>
  <cp:lastModifiedBy/>
  <cp:lastPrinted>2025-02-17T10:50:48Z</cp:lastPrinted>
  <dcterms:modified xsi:type="dcterms:W3CDTF">2025-02-17T10:43:32Z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ICV">
    <vt:lpwstr>0E0CAC84A6E047F1AE0E82E6EBC78D87</vt:lpwstr>
  </property>
  <property fmtid="{D5CDD505-2E9C-101B-9397-08002B2CF9AE}" pid="4" name="KSOProductBuildVer">
    <vt:lpwstr>1046-12.2.0.13266</vt:lpwstr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