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720" firstSheet="3"/>
  </bookViews>
  <sheets>
    <sheet name="QUADRO RESUMO" sheetId="1" r:id="rId1"/>
    <sheet name="MOTORISTA TERESINA" sheetId="2" state="hidden" r:id="rId2"/>
    <sheet name="MOTORISTA CT TERESINA" sheetId="3" state="hidden" r:id="rId3"/>
    <sheet name="MOTORISTA FLORIANO" sheetId="5" r:id="rId4"/>
    <sheet name="MOTORISTA CT FLORIANO" sheetId="16" r:id="rId5"/>
    <sheet name="MOTORISTA BOM JESUS" sheetId="17" state="hidden" r:id="rId6"/>
    <sheet name="MOTORISTA CT BOM JESUS" sheetId="18" state="hidden" r:id="rId7"/>
    <sheet name="MOTORISTA HVU BOM JESUS" sheetId="19" state="hidden" r:id="rId8"/>
    <sheet name="MOTORISTA PICOS" sheetId="20" state="hidden" r:id="rId9"/>
    <sheet name="DIÁRIAS" sheetId="21" r:id="rId10"/>
    <sheet name="UNIFORMES" sheetId="15" r:id="rId11"/>
  </sheets>
  <definedNames>
    <definedName name="_xlnm.Print_Area" localSheetId="10">UNIFORMES!$A$1:$F$15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2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3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4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5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6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7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comments8.xml><?xml version="1.0" encoding="utf-8"?>
<comments xmlns="http://schemas.openxmlformats.org/spreadsheetml/2006/main">
  <authors>
    <author>Profº Walter S. Gouvêa</author>
  </authors>
  <commentList>
    <comment ref="J42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3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4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45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  <comment ref="J49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51" authorId="0">
      <text>
        <r>
          <rPr>
            <b/>
            <sz val="9"/>
            <rFont val="Segoe UI"/>
            <charset val="134"/>
          </rPr>
          <t xml:space="preserve">Profº Walter S. Gouvêa:
</t>
        </r>
        <r>
          <rPr>
            <sz val="9"/>
            <rFont val="Segoe UI"/>
            <charset val="134"/>
          </rPr>
          <t>(COMPENSADO S/ OS 11% DA RETENÇÃO SOBRE O VALOR BRUTO DA FATURA)</t>
        </r>
      </text>
    </comment>
    <comment ref="J137" authorId="0">
      <text>
        <r>
          <rPr>
            <b/>
            <sz val="9"/>
            <rFont val="Segoe UI"/>
            <charset val="134"/>
          </rPr>
          <t xml:space="preserve">Profº Walter S. Gouvêa
</t>
        </r>
        <r>
          <rPr>
            <sz val="9"/>
            <rFont val="Segoe UI"/>
            <charset val="134"/>
          </rPr>
          <t xml:space="preserve">
VALE TRANSPORTE - CONTRIBUIÇÃO DO EMPREGADO:  6% CALCULADO SOBRE O PISO SALARIAL (NÃO SOBRE A REMUNERAÇÃO)
</t>
        </r>
      </text>
    </comment>
  </commentList>
</comments>
</file>

<file path=xl/sharedStrings.xml><?xml version="1.0" encoding="utf-8"?>
<sst xmlns="http://schemas.openxmlformats.org/spreadsheetml/2006/main" count="2566" uniqueCount="256">
  <si>
    <t>QUADRO RESUMO</t>
  </si>
  <si>
    <t>QUADRO RESUMO - DESPESAS ACESSÓRIAS</t>
  </si>
  <si>
    <t xml:space="preserve">GRUPO 01 </t>
  </si>
  <si>
    <t>DIÁRIA</t>
  </si>
  <si>
    <t>ITEM</t>
  </si>
  <si>
    <t>CARGO</t>
  </si>
  <si>
    <t>CBO</t>
  </si>
  <si>
    <t>UNIDADE DE FORNECIMENTO</t>
  </si>
  <si>
    <t>QT. TOTAL</t>
  </si>
  <si>
    <t>VALOR UNITÁRIO MENSAL</t>
  </si>
  <si>
    <t>VALOR UNITÁRIO ANUAL</t>
  </si>
  <si>
    <t>VALOR TOTAL  ANUAL</t>
  </si>
  <si>
    <t>SERVIÇO</t>
  </si>
  <si>
    <t>MOTORISTA TERESINA</t>
  </si>
  <si>
    <t>POSTO</t>
  </si>
  <si>
    <t>UNID</t>
  </si>
  <si>
    <t>GRUPO 02</t>
  </si>
  <si>
    <t>MOTORISTA CT TERESINA</t>
  </si>
  <si>
    <t>GRUPO 03</t>
  </si>
  <si>
    <t>MOTORISTA FLORIANO</t>
  </si>
  <si>
    <t>GRUPO 04</t>
  </si>
  <si>
    <t>MOTORISTA CT FLORIANO</t>
  </si>
  <si>
    <t>GRUPO 05</t>
  </si>
  <si>
    <t>MOTORISTA BOM JESUS</t>
  </si>
  <si>
    <t>GRUPO 06</t>
  </si>
  <si>
    <t>MOTORISTA CT BOM JESUS</t>
  </si>
  <si>
    <t>GRUPO 07</t>
  </si>
  <si>
    <t>MOTORISTA HVU BOM JESUS</t>
  </si>
  <si>
    <t>GRUPO 08</t>
  </si>
  <si>
    <t>MOTORISTA PICOS</t>
  </si>
  <si>
    <t>VALOR GLOBAL MOTORISTAS</t>
  </si>
  <si>
    <t>VALOR GLOBAL GRUPOS + DIÁRIAS</t>
  </si>
  <si>
    <t>PLANILHAS DO GRUPO 01</t>
  </si>
  <si>
    <t>Categoria profissional: MOTORISTA TERESINA - 44H</t>
  </si>
  <si>
    <t>EXEQUIBILIDADE</t>
  </si>
  <si>
    <t>Nº do Processo</t>
  </si>
  <si>
    <t>23111.022249/2022-55</t>
  </si>
  <si>
    <t>Discriminação dos Serviços</t>
  </si>
  <si>
    <t>A</t>
  </si>
  <si>
    <t>Data de apresentação da proposta</t>
  </si>
  <si>
    <t>ETAPA I</t>
  </si>
  <si>
    <t>B</t>
  </si>
  <si>
    <t>Município</t>
  </si>
  <si>
    <t>TERESINA-PI</t>
  </si>
  <si>
    <t>CUSTOS OBRIGATÓRIOS (C.O.)</t>
  </si>
  <si>
    <t>C</t>
  </si>
  <si>
    <t>Ano do Acordo, Convenção ou Dissídio Coletivo</t>
  </si>
  <si>
    <t>PI000048/2024</t>
  </si>
  <si>
    <t>TOTAL ETAPA I</t>
  </si>
  <si>
    <t>D</t>
  </si>
  <si>
    <t>Nº de meses de execução contratual</t>
  </si>
  <si>
    <t>ETAPA II</t>
  </si>
  <si>
    <t>Identificação do Serviço</t>
  </si>
  <si>
    <t>RETENÇÕES, DEDUÇÕES E AMORTIZAÇÕES</t>
  </si>
  <si>
    <t>Tipo de Serviço</t>
  </si>
  <si>
    <t>Unidade de Medida</t>
  </si>
  <si>
    <t>Quantidade estimada a contratar (em função da unidade de medida)</t>
  </si>
  <si>
    <t xml:space="preserve">INSS </t>
  </si>
  <si>
    <t>Motorista de veículo pesado</t>
  </si>
  <si>
    <t>VALE ALIMENTAÇÃO</t>
  </si>
  <si>
    <t>Dados para composição dos custos referentes à mão-de-obra</t>
  </si>
  <si>
    <t xml:space="preserve">INSUMOS </t>
  </si>
  <si>
    <t>Tipo de serviço (mesmo serviço com características distintas)</t>
  </si>
  <si>
    <t>MOTORISTA</t>
  </si>
  <si>
    <t>Vale transporte</t>
  </si>
  <si>
    <t>Classificação Brasileira de Ocupações (CBO)</t>
  </si>
  <si>
    <t>7825-10</t>
  </si>
  <si>
    <t>TOTAL DAS DEDUÇÕES</t>
  </si>
  <si>
    <t>Salário Nominativo da Categoria Profissional</t>
  </si>
  <si>
    <t>VALOR TOTAL EMPREG.</t>
  </si>
  <si>
    <t>Categoria profissional (vinculada à execução contratual)</t>
  </si>
  <si>
    <t>SINDICATO DAS EMPRESAS DE ASSEIO E CONSERVACAO DO ESTADO DO PIAUI</t>
  </si>
  <si>
    <t>VALOR INCIDÊNCIA 11% INSS</t>
  </si>
  <si>
    <t>Data base da categoria (dia/mês/ano)</t>
  </si>
  <si>
    <t>1º janeiro de 2024</t>
  </si>
  <si>
    <t>Total</t>
  </si>
  <si>
    <t xml:space="preserve">IRPJ </t>
  </si>
  <si>
    <t>MÓDULO 1 - COMPOSIÇÃO DA REMUNERAÇÃO</t>
  </si>
  <si>
    <t>IN 1234/12 - CÓD. 6147: 1,2%</t>
  </si>
  <si>
    <t>COMPOSIÇÃO DA REMUNERAÇÃO</t>
  </si>
  <si>
    <t>%</t>
  </si>
  <si>
    <t>VALOR (R$)</t>
  </si>
  <si>
    <t>IN 1234/12 - 6170: 4,8%</t>
  </si>
  <si>
    <t>Salário Base</t>
  </si>
  <si>
    <t>VALOR TOTAL EMPREG. (1,2%)</t>
  </si>
  <si>
    <t>Adicional Periculosidade</t>
  </si>
  <si>
    <r>
      <rPr>
        <b/>
        <sz val="12"/>
        <rFont val="Calibri"/>
        <charset val="134"/>
        <scheme val="minor"/>
      </rPr>
      <t xml:space="preserve">Total </t>
    </r>
    <r>
      <rPr>
        <b/>
        <sz val="12"/>
        <color rgb="FFFF0000"/>
        <rFont val="Calibri"/>
        <charset val="134"/>
        <scheme val="minor"/>
      </rPr>
      <t>(1,2%)</t>
    </r>
  </si>
  <si>
    <t>Adicional Insalubridade</t>
  </si>
  <si>
    <t>CSLL</t>
  </si>
  <si>
    <t>Adicional Noturno</t>
  </si>
  <si>
    <t>E</t>
  </si>
  <si>
    <t>Adicional de Hora Noturna Reduzida</t>
  </si>
  <si>
    <t>F</t>
  </si>
  <si>
    <t>Outros (especificar)</t>
  </si>
  <si>
    <t>COFINS</t>
  </si>
  <si>
    <t>TOTAL DO MÓDULO 1</t>
  </si>
  <si>
    <t>MÓDULO 2 – ENCARGOS E BENEFÍCIOS ANUAIS, MENSAIS E DIÁRIOS</t>
  </si>
  <si>
    <t>PIS/PASEP</t>
  </si>
  <si>
    <t>Submódulo 2.1 - 13º Salário, Férias e Adicional de Férias</t>
  </si>
  <si>
    <t>13 (Décimo-terceiro) salário</t>
  </si>
  <si>
    <t>Férias e Abono de Férias</t>
  </si>
  <si>
    <t>ISSQN ( 2% a 5%) vide planilha</t>
  </si>
  <si>
    <t>TOTAL SUBMÓDULO 2.1</t>
  </si>
  <si>
    <r>
      <rPr>
        <b/>
        <sz val="10"/>
        <color rgb="FF000000"/>
        <rFont val="Arial"/>
        <charset val="1"/>
      </rPr>
      <t xml:space="preserve">BASE DE CÁLCULO PARA O SUBMÓDULO 2.2 </t>
    </r>
    <r>
      <rPr>
        <sz val="10"/>
        <color rgb="FF000000"/>
        <rFont val="Arial"/>
        <charset val="1"/>
      </rPr>
      <t>(MÓDULO 1 + SUBMÓDULO 2.1)</t>
    </r>
  </si>
  <si>
    <t>MÓDULO 1</t>
  </si>
  <si>
    <t>SUBMÓDULO 2.1</t>
  </si>
  <si>
    <t>TOTAL - ETAPA II</t>
  </si>
  <si>
    <t>TOTAL</t>
  </si>
  <si>
    <t>Submódulo 2.2 - GPS, FGTS e Outras Contribuições</t>
  </si>
  <si>
    <r>
      <rPr>
        <b/>
        <sz val="12"/>
        <color rgb="FF0033CC"/>
        <rFont val="Calibri"/>
        <charset val="134"/>
        <scheme val="minor"/>
      </rPr>
      <t>ETAPA I + ETAPA II (</t>
    </r>
    <r>
      <rPr>
        <b/>
        <sz val="12"/>
        <color rgb="FFFF0000"/>
        <rFont val="Calibri"/>
        <charset val="134"/>
        <scheme val="minor"/>
      </rPr>
      <t>TOTAL "E1E2"</t>
    </r>
    <r>
      <rPr>
        <b/>
        <sz val="12"/>
        <color rgb="FF0033CC"/>
        <rFont val="Calibri"/>
        <charset val="134"/>
        <scheme val="minor"/>
      </rPr>
      <t>)</t>
    </r>
  </si>
  <si>
    <t>INSS</t>
  </si>
  <si>
    <t>RETENÇÃO 11% - IN 2110/22</t>
  </si>
  <si>
    <t>TOTAL: CUSTOS OBRIGATÓRIOS + RETENÇÕES</t>
  </si>
  <si>
    <t>Salário Educação</t>
  </si>
  <si>
    <t>SAT (Seguro Acidente de Trabalho)</t>
  </si>
  <si>
    <t>SESC ou SESI</t>
  </si>
  <si>
    <t>SENAI - SENAC</t>
  </si>
  <si>
    <t>SEBRAE</t>
  </si>
  <si>
    <t>G</t>
  </si>
  <si>
    <t>INCRA</t>
  </si>
  <si>
    <t>H</t>
  </si>
  <si>
    <t>FGTS</t>
  </si>
  <si>
    <t xml:space="preserve">ETAPA III </t>
  </si>
  <si>
    <t>TOTAL SUBMÓDULO 2.2</t>
  </si>
  <si>
    <t>DEMONSTRAÇÃO DA EXEQUIBILIDADE</t>
  </si>
  <si>
    <t>Nº DE POSTOS DO CONTRATO</t>
  </si>
  <si>
    <t>Submódulo 2.3 - Benefícios Mensais e Diários</t>
  </si>
  <si>
    <r>
      <rPr>
        <b/>
        <sz val="12"/>
        <rFont val="Calibri"/>
        <charset val="134"/>
        <scheme val="minor"/>
      </rPr>
      <t>TOTAL POR POSTO "</t>
    </r>
    <r>
      <rPr>
        <b/>
        <sz val="12"/>
        <color rgb="FFFF0000"/>
        <rFont val="Calibri"/>
        <charset val="134"/>
        <scheme val="minor"/>
      </rPr>
      <t>E1E2</t>
    </r>
    <r>
      <rPr>
        <b/>
        <sz val="12"/>
        <rFont val="Calibri"/>
        <charset val="134"/>
        <scheme val="minor"/>
      </rPr>
      <t xml:space="preserve">": </t>
    </r>
    <r>
      <rPr>
        <i/>
        <sz val="12"/>
        <color rgb="FFFF0000"/>
        <rFont val="Calibri"/>
        <charset val="134"/>
        <scheme val="minor"/>
      </rPr>
      <t>(CUSTO HOMEM/MÊS) -</t>
    </r>
    <r>
      <rPr>
        <b/>
        <sz val="12"/>
        <rFont val="Calibri"/>
        <charset val="134"/>
        <scheme val="minor"/>
      </rPr>
      <t xml:space="preserve"> </t>
    </r>
    <r>
      <rPr>
        <i/>
        <sz val="12"/>
        <color rgb="FFFF0000"/>
        <rFont val="Calibri"/>
        <charset val="134"/>
        <scheme val="minor"/>
      </rPr>
      <t>(C.O. + RETENÇÕES)</t>
    </r>
  </si>
  <si>
    <t>Transporte</t>
  </si>
  <si>
    <t>Auxílio-Refeição/Alimentação</t>
  </si>
  <si>
    <t>-</t>
  </si>
  <si>
    <t>Assistência Médica e Familiar</t>
  </si>
  <si>
    <t>VALOR MENSAL DO CONTRATO</t>
  </si>
  <si>
    <t>Seguro de vida</t>
  </si>
  <si>
    <r>
      <rPr>
        <b/>
        <sz val="12"/>
        <rFont val="Calibri"/>
        <charset val="134"/>
        <scheme val="minor"/>
      </rPr>
      <t>TOTAL MENSAL "</t>
    </r>
    <r>
      <rPr>
        <b/>
        <sz val="12"/>
        <color rgb="FFFF0000"/>
        <rFont val="Calibri"/>
        <charset val="134"/>
        <scheme val="minor"/>
      </rPr>
      <t>E1+E2</t>
    </r>
    <r>
      <rPr>
        <b/>
        <sz val="12"/>
        <rFont val="Calibri"/>
        <charset val="134"/>
        <scheme val="minor"/>
      </rPr>
      <t>"</t>
    </r>
  </si>
  <si>
    <t>TOTAL SUBMÓDULO 2.3</t>
  </si>
  <si>
    <t>SALDO DA EXEQUIBILIDADE</t>
  </si>
  <si>
    <t>DEMAIS CUSTOS (MÓDULO 3, EXCETO ALÍNEA "E"; MÓDULO 4; MÓDULO 5; CUSTOS INDIRETOS E LUCRO)</t>
  </si>
  <si>
    <t>QUADRO-RESUMO DO MÓDULO 2 - ENCARGOS, BENEFÍCIOS ANUAIS, MENSAIS E DIÁRIOS</t>
  </si>
  <si>
    <t>SALDO FINAL</t>
  </si>
  <si>
    <t>Módulo 2 - Encargos, Benefícios Anuais, Mensais e Diários</t>
  </si>
  <si>
    <t>SALDO DE EXEQUIBILIDADE ANUAL POR EMPREGADO</t>
  </si>
  <si>
    <t>2.1</t>
  </si>
  <si>
    <t>13º Salário, Férias e Adicional de Férias</t>
  </si>
  <si>
    <t>SALDO DE EXEQUIBILIDADE ANUAL TOTAL</t>
  </si>
  <si>
    <t>2.2</t>
  </si>
  <si>
    <t>GPS, FGTS e Outras Contribuições</t>
  </si>
  <si>
    <r>
      <rPr>
        <b/>
        <sz val="12"/>
        <rFont val="Calibri"/>
        <charset val="134"/>
        <scheme val="minor"/>
      </rPr>
      <t>O "</t>
    </r>
    <r>
      <rPr>
        <b/>
        <sz val="12"/>
        <color rgb="FFFF0000"/>
        <rFont val="Calibri"/>
        <charset val="134"/>
        <scheme val="minor"/>
      </rPr>
      <t>SALDO DA EXEQUIBILIDADE</t>
    </r>
    <r>
      <rPr>
        <b/>
        <sz val="12"/>
        <rFont val="Calibri"/>
        <charset val="134"/>
        <scheme val="minor"/>
      </rPr>
      <t xml:space="preserve">" REPRESENTA O VALOR RESTANTE DA PLANILHA QUE NÃO FOI CONTABILIZADO PELOS CUSTOS OBRIGATÓRIOS (ETAPA I) E PELAS RETENÇÕES TRIBUTÁRIAS (ETAPA II). O LICITANTE TERÁ QUE  COMPROVAR QUE O "SALDO DA EXEQUIBILIDADE" SERÁ </t>
    </r>
    <r>
      <rPr>
        <b/>
        <sz val="12"/>
        <color rgb="FFFF0000"/>
        <rFont val="Calibri"/>
        <charset val="134"/>
        <scheme val="minor"/>
      </rPr>
      <t>SUFICIENTE PARA SUPRIR OS DEMAIS CUSTOS</t>
    </r>
    <r>
      <rPr>
        <b/>
        <sz val="12"/>
        <rFont val="Calibri"/>
        <charset val="134"/>
        <scheme val="minor"/>
      </rPr>
      <t>.</t>
    </r>
  </si>
  <si>
    <t>2.3</t>
  </si>
  <si>
    <t>Benefícios Mensais e Diários</t>
  </si>
  <si>
    <t>TOTAL DO MÓDULO 2</t>
  </si>
  <si>
    <r>
      <rPr>
        <b/>
        <sz val="10"/>
        <color rgb="FF000000"/>
        <rFont val="Arial"/>
        <charset val="1"/>
      </rPr>
      <t xml:space="preserve">BASE DE CÁLCULO PARA O MÓDULO 3 </t>
    </r>
    <r>
      <rPr>
        <sz val="10"/>
        <color rgb="FF000000"/>
        <rFont val="Arial"/>
        <charset val="1"/>
      </rPr>
      <t>(MÓDULO 1 + MÓDULO 2)</t>
    </r>
  </si>
  <si>
    <t>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</si>
  <si>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</si>
  <si>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</si>
  <si>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</si>
  <si>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</si>
  <si>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Aviso Prévio Trabalhado</t>
  </si>
  <si>
    <t>Incidência dos encargos do submódulo 2.2 sobre Aviso Prévio Trabalhado</t>
  </si>
  <si>
    <t>Multa do FGTS sobre o Aviso Prévio Indenizado e sobre o Aviso Prévio Trabalhado</t>
  </si>
  <si>
    <t>TOTAL DO MÓDULO 3</t>
  </si>
  <si>
    <r>
      <rPr>
        <b/>
        <sz val="10"/>
        <color rgb="FF000000"/>
        <rFont val="Arial"/>
        <charset val="1"/>
      </rPr>
      <t xml:space="preserve">BASE DE CÁLCULO PARA O MÓDULO 4 </t>
    </r>
    <r>
      <rPr>
        <sz val="10"/>
        <color rgb="FF000000"/>
        <rFont val="Arial"/>
        <charset val="1"/>
      </rPr>
      <t>(MÓDULO 1 + MÓDULO 2 + MÓDULO 3)</t>
    </r>
  </si>
  <si>
    <t>MÓDULO 3</t>
  </si>
  <si>
    <t>MÓDULO 4 –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</si>
  <si>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</si>
  <si>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</si>
  <si>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</si>
  <si>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</si>
  <si>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</si>
  <si>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</si>
  <si>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outras ausências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</si>
  <si>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</si>
  <si>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</si>
  <si>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</si>
  <si>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</si>
  <si>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</si>
  <si>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</si>
  <si>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</si>
  <si>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Ausências Legais</t>
  </si>
  <si>
    <t>4.2</t>
  </si>
  <si>
    <t>Intrajornada</t>
  </si>
  <si>
    <t>TOTAL DO MÓDULO 4</t>
  </si>
  <si>
    <t>MÓDULO 5 – INSUMOS DIVERSOS</t>
  </si>
  <si>
    <t>INSUMOS DIVERSOS</t>
  </si>
  <si>
    <t>Materiais</t>
  </si>
  <si>
    <t>EPIs</t>
  </si>
  <si>
    <t>Uniformes</t>
  </si>
  <si>
    <t>Equipamentos / Ferramentas</t>
  </si>
  <si>
    <t>TOTAL DO MÓDULO 5</t>
  </si>
  <si>
    <r>
      <rPr>
        <b/>
        <sz val="10"/>
        <color rgb="FF000000"/>
        <rFont val="Arial"/>
        <charset val="1"/>
      </rPr>
      <t xml:space="preserve">BASE DE CÁLCULO PARA O MÓDULO 6 </t>
    </r>
    <r>
      <rPr>
        <sz val="10"/>
        <color rgb="FF000000"/>
        <rFont val="Arial"/>
        <charset val="1"/>
      </rPr>
      <t>(MÓDULO 1 + MÓDULO 2 + MÓDULO 3 + MÓDULO 4 + MÓDULO 5)</t>
    </r>
  </si>
  <si>
    <t>MÓDULO 4</t>
  </si>
  <si>
    <t>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</si>
  <si>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</si>
  <si>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</si>
  <si>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</si>
  <si>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</si>
  <si>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</si>
  <si>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</si>
  <si>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</si>
  <si>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</si>
  <si>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</si>
  <si>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</si>
  <si>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</si>
  <si>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</si>
  <si>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</si>
  <si>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</si>
  <si>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</si>
  <si>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</si>
  <si>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</si>
  <si>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</si>
  <si>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</si>
  <si>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</si>
  <si>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</si>
  <si>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</si>
  <si>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PLANILHAS DO GRUPO 02</t>
  </si>
  <si>
    <t>Categoria profissional:  MOTORISTA CT TERESINA – 44 HORAS</t>
  </si>
  <si>
    <t>01</t>
  </si>
  <si>
    <t>PLANILHAS DO GRUPO 03</t>
  </si>
  <si>
    <t>Categoria profissional: MOTORISTA FLORIANO - 44H</t>
  </si>
  <si>
    <t>DEMAIS CUSTOS (MÓDULO 3, EXCETO ALÍNEA "E"; MÓDULO 4; MÓDULO 5; CUSTOS INDIRETOS)</t>
  </si>
  <si>
    <t>SALDO DE EXEQUIBILIDADE EMPREGADOS</t>
  </si>
  <si>
    <t>PLANILHAS DO GRUPO 04</t>
  </si>
  <si>
    <t>Categoria profissional:  MOTORISTA CT FLORIANO – 44 HORAS</t>
  </si>
  <si>
    <t>PLANILHAS DO GRUPO 05</t>
  </si>
  <si>
    <t>Categoria profissional: MOTORISTA BOM JESUS - 44H</t>
  </si>
  <si>
    <t>PLANILHAS DO GRUPO 06</t>
  </si>
  <si>
    <t>Categoria profissional: MOTORISTA CT BOM JESUS - 44H</t>
  </si>
  <si>
    <t>PLANILHAS DO GRUPO 07</t>
  </si>
  <si>
    <t>Categoria profissional: MOTORISTA HVU BOM JESUS - 44H</t>
  </si>
  <si>
    <t>PLANILHAS DO GRUPO 08</t>
  </si>
  <si>
    <t>Categoria profissional: MOTORISTA PICOS - 44H</t>
  </si>
  <si>
    <t>PLANILHA DAS DIÁRIAS</t>
  </si>
  <si>
    <t>Despesas acessórias</t>
  </si>
  <si>
    <t xml:space="preserve">DIÁRIA </t>
  </si>
  <si>
    <t>CATSER</t>
  </si>
  <si>
    <t>Diária</t>
  </si>
  <si>
    <r>
      <rPr>
        <sz val="10"/>
        <color rgb="FF000000"/>
        <rFont val="Arial"/>
        <charset val="1"/>
      </rPr>
      <t>Outros (</t>
    </r>
    <r>
      <rPr>
        <b/>
        <sz val="10"/>
        <color rgb="FF000000"/>
        <rFont val="Arial"/>
        <charset val="1"/>
      </rPr>
      <t>DIÁRIAS</t>
    </r>
    <r>
      <rPr>
        <sz val="10"/>
        <color rgb="FF000000"/>
        <rFont val="Arial"/>
        <charset val="1"/>
      </rPr>
      <t>)</t>
    </r>
  </si>
  <si>
    <t>UNIFORMES</t>
  </si>
  <si>
    <t xml:space="preserve">QUANTITATIVO DE UNIFORMES POR EMPREGADO </t>
  </si>
  <si>
    <t>TABELA 01</t>
  </si>
  <si>
    <t>UNIFORMES - MOTORISTAS (ANUAL)</t>
  </si>
  <si>
    <t>NOME</t>
  </si>
  <si>
    <t>QUANT.</t>
  </si>
  <si>
    <t>UNIDADE</t>
  </si>
  <si>
    <t>VALOR UNITÁRIO</t>
  </si>
  <si>
    <t>Calça social masculina em tecido alfaiataria na cor preta</t>
  </si>
  <si>
    <t>Unid</t>
  </si>
  <si>
    <t>Camisa social manga curta 100% algodão na cor azul royal;</t>
  </si>
  <si>
    <t xml:space="preserve">Camiseta na cor azul royal, manga curta, 100% algodão </t>
  </si>
  <si>
    <t>Cinto de couro, fivela cromada, discreta</t>
  </si>
  <si>
    <t>Par de meias social, na cor preta, cano médio, 100% algodão;</t>
  </si>
  <si>
    <t>Par</t>
  </si>
  <si>
    <t>Par de sapato na cor preta, 100% em couro, com cadarço, com solado antiderrapante, com palmilha acolchoada, anti odor;</t>
  </si>
  <si>
    <t>Crachá de identificação com foto</t>
  </si>
  <si>
    <t>TOTAL ANUAL</t>
  </si>
  <si>
    <t>TOTAL MENSAL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</si>
</sst>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176" formatCode="_-&quot;R$&quot;* #,##0_-;\-&quot;R$&quot;* #,##0_-;_-&quot;R$&quot;* &quot;-&quot;_-;_-@_-"/>
    <numFmt numFmtId="177" formatCode="&quot; R$ &quot;* #,##0.00\ ;&quot;-R$ &quot;* #,##0.00\ ;&quot; R$ &quot;* \-#\ ;@\ "/>
    <numFmt numFmtId="178" formatCode="_-* #,##0_-;\-* #,##0_-;_-* &quot;-&quot;_-;_-@_-"/>
    <numFmt numFmtId="179" formatCode="_-* #,##0.00_-;\-* #,##0.00_-;_-* &quot;-&quot;??_-;_-@_-"/>
    <numFmt numFmtId="180" formatCode="&quot; &quot;[$R$-416]&quot; &quot;#,##0.00&quot; &quot;;&quot;-&quot;[$R$-416]&quot; &quot;#,##0.00&quot; &quot;;&quot; &quot;[$R$-416]&quot; -&quot;00&quot; &quot;;&quot; &quot;@&quot; &quot;"/>
    <numFmt numFmtId="181" formatCode="[$R$-416]\ #,##0.00;[Red]\-[$R$-416]\ #,##0.00"/>
    <numFmt numFmtId="182" formatCode="&quot;R$ &quot;#,##0.00\ ;[Red]&quot;(R$ &quot;#,###.00\)"/>
    <numFmt numFmtId="183" formatCode="&quot; R$ &quot;* #,##0.00\ ;&quot;-R$ &quot;* #,##0.00\ ;&quot; R$ &quot;* \-#\ ;@"/>
    <numFmt numFmtId="184" formatCode="d/m/yyyy"/>
    <numFmt numFmtId="185" formatCode="0.00\ ;[Red]\(0.00\)"/>
    <numFmt numFmtId="186" formatCode="0.000000\ "/>
    <numFmt numFmtId="187" formatCode="0.0%"/>
    <numFmt numFmtId="188" formatCode="0.00000%"/>
    <numFmt numFmtId="189" formatCode="0.000000000\ "/>
    <numFmt numFmtId="190" formatCode="0.0000000\ "/>
    <numFmt numFmtId="191" formatCode="_-&quot;R$&quot;\ * #,##0.00_-;\-&quot;R$&quot;\ * #,##0.00_-;_-&quot;R$&quot;\ * &quot;-&quot;??_-;_-@_-"/>
    <numFmt numFmtId="192" formatCode="0.00_);[Red]\(0.00\)"/>
    <numFmt numFmtId="193" formatCode="0.0000"/>
    <numFmt numFmtId="194" formatCode="0.000%"/>
    <numFmt numFmtId="195" formatCode="0.00000"/>
    <numFmt numFmtId="196" formatCode="&quot;R$&quot;\ #,##0.00_);[Red]\(&quot;R$&quot;\ #,###.00\)"/>
  </numFmts>
  <fonts count="64">
    <font>
      <sz val="11"/>
      <color rgb="FF000000"/>
      <name val="Calibri"/>
      <charset val="1"/>
    </font>
    <font>
      <b/>
      <sz val="12"/>
      <color rgb="FF000000"/>
      <name val="Arial"/>
      <charset val="1"/>
    </font>
    <font>
      <sz val="12"/>
      <color rgb="FF000000"/>
      <name val="Calibri"/>
      <charset val="1"/>
    </font>
    <font>
      <sz val="10"/>
      <color rgb="FF000000"/>
      <name val="Times New Roman"/>
      <charset val="1"/>
    </font>
    <font>
      <b/>
      <sz val="12"/>
      <name val="Arial"/>
      <charset val="1"/>
    </font>
    <font>
      <sz val="12"/>
      <color rgb="FF000000"/>
      <name val="Arial"/>
      <charset val="1"/>
    </font>
    <font>
      <sz val="12"/>
      <name val="Arial"/>
      <charset val="1"/>
    </font>
    <font>
      <sz val="12"/>
      <color rgb="FFFF0000"/>
      <name val="Arial"/>
      <charset val="1"/>
    </font>
    <font>
      <sz val="12"/>
      <color rgb="FF333333"/>
      <name val="Arial"/>
      <charset val="1"/>
    </font>
    <font>
      <b/>
      <sz val="12"/>
      <color rgb="FFFF0000"/>
      <name val="Arial"/>
      <charset val="1"/>
    </font>
    <font>
      <b/>
      <sz val="10"/>
      <color rgb="FF000000"/>
      <name val="Arial"/>
      <charset val="1"/>
    </font>
    <font>
      <sz val="11"/>
      <name val="Calibri"/>
      <charset val="1"/>
    </font>
    <font>
      <sz val="10"/>
      <color rgb="FF000000"/>
      <name val="Arial"/>
      <charset val="1"/>
    </font>
    <font>
      <sz val="10"/>
      <color rgb="FFFF0000"/>
      <name val="Arial"/>
      <charset val="1"/>
    </font>
    <font>
      <b/>
      <sz val="10"/>
      <color rgb="FFFF0000"/>
      <name val="Arial"/>
      <charset val="1"/>
    </font>
    <font>
      <sz val="10"/>
      <name val="Arial"/>
      <charset val="1"/>
    </font>
    <font>
      <sz val="11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2"/>
      <color rgb="FF0033CC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name val="Calibri"/>
      <charset val="134"/>
      <scheme val="minor"/>
    </font>
    <font>
      <b/>
      <u/>
      <sz val="12"/>
      <name val="Calibri"/>
      <charset val="134"/>
      <scheme val="minor"/>
    </font>
    <font>
      <b/>
      <sz val="12"/>
      <color rgb="FF000000"/>
      <name val="Calibri"/>
      <charset val="1"/>
    </font>
    <font>
      <b/>
      <sz val="26"/>
      <color rgb="FFFF0000"/>
      <name val="Calibri"/>
      <charset val="134"/>
      <scheme val="minor"/>
    </font>
    <font>
      <sz val="10"/>
      <color rgb="FF000000"/>
      <name val="Calibri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color rgb="FFCC0000"/>
      <name val="Calibri"/>
      <charset val="1"/>
    </font>
    <font>
      <b/>
      <sz val="10"/>
      <color rgb="FFFFFFFF"/>
      <name val="Calibri"/>
      <charset val="1"/>
    </font>
    <font>
      <i/>
      <sz val="10"/>
      <color rgb="FF808080"/>
      <name val="Calibri"/>
      <charset val="1"/>
    </font>
    <font>
      <sz val="10"/>
      <color rgb="FF006600"/>
      <name val="Calibri"/>
      <charset val="1"/>
    </font>
    <font>
      <sz val="18"/>
      <color rgb="FF000000"/>
      <name val="Calibri"/>
      <charset val="1"/>
    </font>
    <font>
      <u/>
      <sz val="10"/>
      <color rgb="FF0000EE"/>
      <name val="Calibri"/>
      <charset val="1"/>
    </font>
    <font>
      <sz val="10"/>
      <color rgb="FF996600"/>
      <name val="Calibri"/>
      <charset val="1"/>
    </font>
    <font>
      <sz val="10"/>
      <color rgb="FF333333"/>
      <name val="Calibri"/>
      <charset val="1"/>
    </font>
    <font>
      <sz val="11"/>
      <color rgb="FF000000"/>
      <name val="Calibri"/>
      <charset val="134"/>
    </font>
    <font>
      <i/>
      <sz val="12"/>
      <color rgb="FFFF0000"/>
      <name val="Calibri"/>
      <charset val="134"/>
      <scheme val="minor"/>
    </font>
    <font>
      <b/>
      <sz val="9"/>
      <name val="Segoe UI"/>
      <charset val="134"/>
    </font>
    <font>
      <sz val="9"/>
      <name val="Segoe UI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6EF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E2EFD9"/>
        <bgColor rgb="FFE2F0D9"/>
      </patternFill>
    </fill>
    <fill>
      <patternFill patternType="solid">
        <fgColor rgb="FFE2F0D9"/>
        <bgColor rgb="FFE2EFD9"/>
      </patternFill>
    </fill>
    <fill>
      <patternFill patternType="solid">
        <fgColor rgb="FF8EAADB"/>
        <bgColor rgb="FF9CC3E5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CC3E5"/>
        <bgColor rgb="FF8EAADB"/>
      </patternFill>
    </fill>
    <fill>
      <patternFill patternType="solid">
        <fgColor rgb="FFFFFF00"/>
        <bgColor rgb="FF8EAAD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6E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6">
    <xf numFmtId="0" fontId="0" fillId="0" borderId="0"/>
    <xf numFmtId="176" fontId="29" fillId="0" borderId="0" applyBorder="0" applyAlignment="0" applyProtection="0"/>
    <xf numFmtId="177" fontId="0" fillId="0" borderId="0" applyBorder="0" applyProtection="0"/>
    <xf numFmtId="9" fontId="29" fillId="0" borderId="0" applyBorder="0" applyAlignment="0" applyProtection="0"/>
    <xf numFmtId="178" fontId="29" fillId="0" borderId="0" applyBorder="0" applyAlignment="0" applyProtection="0"/>
    <xf numFmtId="179" fontId="29" fillId="0" borderId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8" borderId="2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9" borderId="26" applyNumberFormat="0" applyAlignment="0" applyProtection="0">
      <alignment vertical="center"/>
    </xf>
    <xf numFmtId="0" fontId="40" fillId="20" borderId="27" applyNumberFormat="0" applyAlignment="0" applyProtection="0">
      <alignment vertical="center"/>
    </xf>
    <xf numFmtId="0" fontId="41" fillId="20" borderId="26" applyNumberFormat="0" applyAlignment="0" applyProtection="0">
      <alignment vertical="center"/>
    </xf>
    <xf numFmtId="0" fontId="42" fillId="21" borderId="28" applyNumberForma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50" fillId="47" borderId="0" applyBorder="0" applyProtection="0"/>
    <xf numFmtId="0" fontId="51" fillId="0" borderId="0" applyBorder="0" applyProtection="0"/>
    <xf numFmtId="0" fontId="50" fillId="48" borderId="0" applyBorder="0" applyProtection="0"/>
    <xf numFmtId="0" fontId="51" fillId="49" borderId="0" applyBorder="0" applyProtection="0"/>
    <xf numFmtId="0" fontId="52" fillId="50" borderId="0" applyBorder="0" applyProtection="0"/>
    <xf numFmtId="0" fontId="53" fillId="51" borderId="0" applyBorder="0" applyProtection="0"/>
    <xf numFmtId="0" fontId="54" fillId="0" borderId="0" applyBorder="0" applyProtection="0"/>
    <xf numFmtId="0" fontId="55" fillId="52" borderId="0" applyBorder="0" applyProtection="0"/>
    <xf numFmtId="0" fontId="56" fillId="0" borderId="0" applyBorder="0" applyProtection="0"/>
    <xf numFmtId="0" fontId="2" fillId="0" borderId="0" applyBorder="0" applyProtection="0"/>
    <xf numFmtId="0" fontId="57" fillId="0" borderId="0" applyBorder="0" applyProtection="0"/>
    <xf numFmtId="0" fontId="58" fillId="53" borderId="0" applyBorder="0" applyProtection="0"/>
    <xf numFmtId="0" fontId="59" fillId="53" borderId="31" applyProtection="0"/>
    <xf numFmtId="0" fontId="0" fillId="0" borderId="0" applyBorder="0" applyProtection="0"/>
    <xf numFmtId="0" fontId="0" fillId="0" borderId="0" applyBorder="0" applyProtection="0"/>
    <xf numFmtId="0" fontId="52" fillId="0" borderId="0" applyBorder="0" applyProtection="0"/>
    <xf numFmtId="180" fontId="60" fillId="0" borderId="0" applyFont="0" applyFill="0" applyBorder="0" applyAlignment="0" applyProtection="0"/>
  </cellStyleXfs>
  <cellXfs count="2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1" fontId="7" fillId="4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1" fontId="4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81" fontId="9" fillId="4" borderId="1" xfId="0" applyNumberFormat="1" applyFont="1" applyFill="1" applyBorder="1" applyAlignment="1">
      <alignment horizontal="center" vertical="center" wrapText="1"/>
    </xf>
    <xf numFmtId="182" fontId="0" fillId="0" borderId="0" xfId="0" applyNumberFormat="1" applyFont="1"/>
    <xf numFmtId="182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/>
    <xf numFmtId="0" fontId="10" fillId="7" borderId="1" xfId="0" applyFont="1" applyFill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0" fontId="12" fillId="0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10" fontId="10" fillId="6" borderId="1" xfId="0" applyNumberFormat="1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2" fillId="9" borderId="1" xfId="0" applyFont="1" applyFill="1" applyBorder="1"/>
    <xf numFmtId="183" fontId="12" fillId="0" borderId="1" xfId="0" applyNumberFormat="1" applyFont="1" applyBorder="1" applyAlignment="1">
      <alignment horizontal="center"/>
    </xf>
    <xf numFmtId="184" fontId="12" fillId="0" borderId="1" xfId="0" applyNumberFormat="1" applyFont="1" applyBorder="1" applyAlignment="1">
      <alignment horizontal="center"/>
    </xf>
    <xf numFmtId="0" fontId="12" fillId="0" borderId="0" xfId="0" applyFont="1"/>
    <xf numFmtId="182" fontId="1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85" fontId="12" fillId="0" borderId="1" xfId="0" applyNumberFormat="1" applyFont="1" applyBorder="1" applyAlignment="1">
      <alignment horizontal="right"/>
    </xf>
    <xf numFmtId="185" fontId="12" fillId="0" borderId="1" xfId="0" applyNumberFormat="1" applyFont="1" applyFill="1" applyBorder="1" applyAlignment="1">
      <alignment horizontal="right"/>
    </xf>
    <xf numFmtId="183" fontId="10" fillId="6" borderId="1" xfId="0" applyNumberFormat="1" applyFont="1" applyFill="1" applyBorder="1"/>
    <xf numFmtId="183" fontId="10" fillId="8" borderId="1" xfId="0" applyNumberFormat="1" applyFont="1" applyFill="1" applyBorder="1" applyAlignment="1">
      <alignment horizontal="right"/>
    </xf>
    <xf numFmtId="183" fontId="1" fillId="8" borderId="1" xfId="0" applyNumberFormat="1" applyFont="1" applyFill="1" applyBorder="1" applyAlignment="1">
      <alignment horizontal="right"/>
    </xf>
    <xf numFmtId="10" fontId="12" fillId="0" borderId="1" xfId="0" applyNumberFormat="1" applyFont="1" applyFill="1" applyBorder="1" applyAlignment="1">
      <alignment horizontal="right"/>
    </xf>
    <xf numFmtId="2" fontId="10" fillId="6" borderId="1" xfId="0" applyNumberFormat="1" applyFont="1" applyFill="1" applyBorder="1"/>
    <xf numFmtId="186" fontId="0" fillId="0" borderId="0" xfId="0" applyNumberFormat="1" applyFont="1"/>
    <xf numFmtId="0" fontId="10" fillId="8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10" fontId="10" fillId="9" borderId="1" xfId="0" applyNumberFormat="1" applyFont="1" applyFill="1" applyBorder="1" applyAlignment="1">
      <alignment horizontal="center"/>
    </xf>
    <xf numFmtId="10" fontId="13" fillId="4" borderId="1" xfId="0" applyNumberFormat="1" applyFont="1" applyFill="1" applyBorder="1"/>
    <xf numFmtId="0" fontId="10" fillId="0" borderId="1" xfId="0" applyFont="1" applyBorder="1" applyAlignment="1">
      <alignment horizontal="left"/>
    </xf>
    <xf numFmtId="10" fontId="13" fillId="4" borderId="1" xfId="0" applyNumberFormat="1" applyFont="1" applyFill="1" applyBorder="1" applyAlignment="1">
      <alignment horizontal="center"/>
    </xf>
    <xf numFmtId="187" fontId="13" fillId="4" borderId="1" xfId="0" applyNumberFormat="1" applyFont="1" applyFill="1" applyBorder="1"/>
    <xf numFmtId="9" fontId="12" fillId="0" borderId="1" xfId="0" applyNumberFormat="1" applyFont="1" applyBorder="1"/>
    <xf numFmtId="10" fontId="10" fillId="6" borderId="1" xfId="0" applyNumberFormat="1" applyFont="1" applyFill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0" fontId="14" fillId="0" borderId="0" xfId="0" applyNumberFormat="1" applyFont="1"/>
    <xf numFmtId="0" fontId="13" fillId="0" borderId="6" xfId="0" applyFont="1" applyBorder="1"/>
    <xf numFmtId="0" fontId="14" fillId="0" borderId="0" xfId="0" applyFont="1" applyAlignment="1">
      <alignment horizontal="left"/>
    </xf>
    <xf numFmtId="188" fontId="12" fillId="0" borderId="0" xfId="0" applyNumberFormat="1" applyFont="1" applyBorder="1" applyAlignment="1">
      <alignment horizontal="center"/>
    </xf>
    <xf numFmtId="189" fontId="0" fillId="0" borderId="0" xfId="0" applyNumberFormat="1"/>
    <xf numFmtId="190" fontId="0" fillId="0" borderId="0" xfId="0" applyNumberFormat="1" applyFont="1"/>
    <xf numFmtId="185" fontId="12" fillId="0" borderId="1" xfId="0" applyNumberFormat="1" applyFont="1" applyBorder="1"/>
    <xf numFmtId="185" fontId="15" fillId="0" borderId="1" xfId="0" applyNumberFormat="1" applyFont="1" applyBorder="1" applyAlignment="1">
      <alignment horizontal="right"/>
    </xf>
    <xf numFmtId="185" fontId="12" fillId="0" borderId="1" xfId="0" applyNumberFormat="1" applyFont="1" applyBorder="1" applyAlignment="1">
      <alignment horizontal="center"/>
    </xf>
    <xf numFmtId="2" fontId="14" fillId="0" borderId="7" xfId="0" applyNumberFormat="1" applyFont="1" applyBorder="1"/>
    <xf numFmtId="0" fontId="12" fillId="0" borderId="0" xfId="0" applyFont="1" applyAlignment="1">
      <alignment horizontal="center"/>
    </xf>
    <xf numFmtId="2" fontId="10" fillId="0" borderId="7" xfId="0" applyNumberFormat="1" applyFont="1" applyBorder="1"/>
    <xf numFmtId="2" fontId="12" fillId="0" borderId="1" xfId="0" applyNumberFormat="1" applyFont="1" applyBorder="1"/>
    <xf numFmtId="2" fontId="0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6" fillId="0" borderId="0" xfId="0" applyFont="1" applyFill="1" applyAlignment="1"/>
    <xf numFmtId="0" fontId="17" fillId="10" borderId="0" xfId="0" applyFont="1" applyFill="1" applyAlignment="1"/>
    <xf numFmtId="0" fontId="18" fillId="11" borderId="0" xfId="0" applyFont="1" applyFill="1" applyAlignment="1">
      <alignment horizontal="center" vertical="center" textRotation="255"/>
    </xf>
    <xf numFmtId="0" fontId="19" fillId="10" borderId="0" xfId="0" applyFont="1" applyFill="1" applyBorder="1" applyAlignment="1">
      <alignment vertical="center"/>
    </xf>
    <xf numFmtId="0" fontId="20" fillId="12" borderId="8" xfId="0" applyFont="1" applyFill="1" applyBorder="1" applyAlignment="1">
      <alignment vertical="center"/>
    </xf>
    <xf numFmtId="0" fontId="20" fillId="12" borderId="9" xfId="0" applyFont="1" applyFill="1" applyBorder="1" applyAlignment="1">
      <alignment vertical="center"/>
    </xf>
    <xf numFmtId="4" fontId="21" fillId="12" borderId="10" xfId="0" applyNumberFormat="1" applyFont="1" applyFill="1" applyBorder="1" applyAlignment="1">
      <alignment vertical="center"/>
    </xf>
    <xf numFmtId="4" fontId="21" fillId="12" borderId="11" xfId="0" applyNumberFormat="1" applyFont="1" applyFill="1" applyBorder="1" applyAlignment="1">
      <alignment vertical="center"/>
    </xf>
    <xf numFmtId="0" fontId="21" fillId="13" borderId="12" xfId="0" applyFont="1" applyFill="1" applyBorder="1" applyAlignment="1">
      <alignment horizontal="left" vertical="center"/>
    </xf>
    <xf numFmtId="4" fontId="21" fillId="13" borderId="12" xfId="0" applyNumberFormat="1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vertical="center"/>
    </xf>
    <xf numFmtId="4" fontId="21" fillId="12" borderId="13" xfId="0" applyNumberFormat="1" applyFont="1" applyFill="1" applyBorder="1" applyAlignment="1">
      <alignment vertical="center"/>
    </xf>
    <xf numFmtId="4" fontId="21" fillId="12" borderId="14" xfId="0" applyNumberFormat="1" applyFont="1" applyFill="1" applyBorder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10" fontId="20" fillId="4" borderId="9" xfId="3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left" vertical="center"/>
    </xf>
    <xf numFmtId="2" fontId="22" fillId="10" borderId="11" xfId="0" applyNumberFormat="1" applyFont="1" applyFill="1" applyBorder="1" applyAlignment="1">
      <alignment horizontal="center" vertical="center"/>
    </xf>
    <xf numFmtId="0" fontId="23" fillId="10" borderId="10" xfId="0" applyFont="1" applyFill="1" applyBorder="1" applyAlignment="1">
      <alignment horizontal="left" vertical="center"/>
    </xf>
    <xf numFmtId="4" fontId="23" fillId="10" borderId="11" xfId="0" applyNumberFormat="1" applyFont="1" applyFill="1" applyBorder="1" applyAlignment="1">
      <alignment horizontal="center" vertical="center"/>
    </xf>
    <xf numFmtId="182" fontId="12" fillId="0" borderId="1" xfId="0" applyNumberFormat="1" applyFont="1" applyBorder="1" applyAlignment="1">
      <alignment horizontal="center"/>
    </xf>
    <xf numFmtId="4" fontId="22" fillId="10" borderId="11" xfId="0" applyNumberFormat="1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left" vertical="center"/>
    </xf>
    <xf numFmtId="4" fontId="18" fillId="10" borderId="11" xfId="0" applyNumberFormat="1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left" vertical="center"/>
    </xf>
    <xf numFmtId="4" fontId="21" fillId="10" borderId="14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/>
    </xf>
    <xf numFmtId="0" fontId="22" fillId="10" borderId="8" xfId="0" applyFont="1" applyFill="1" applyBorder="1" applyAlignment="1">
      <alignment horizontal="left" vertical="center"/>
    </xf>
    <xf numFmtId="10" fontId="22" fillId="10" borderId="9" xfId="3" applyNumberFormat="1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left" vertical="center"/>
    </xf>
    <xf numFmtId="10" fontId="22" fillId="10" borderId="11" xfId="3" applyNumberFormat="1" applyFont="1" applyFill="1" applyBorder="1" applyAlignment="1">
      <alignment horizontal="center" vertical="center"/>
    </xf>
    <xf numFmtId="4" fontId="18" fillId="13" borderId="0" xfId="0" applyNumberFormat="1" applyFont="1" applyFill="1" applyBorder="1" applyAlignment="1">
      <alignment vertical="center"/>
    </xf>
    <xf numFmtId="0" fontId="18" fillId="11" borderId="6" xfId="0" applyFont="1" applyFill="1" applyBorder="1" applyAlignment="1">
      <alignment vertical="center"/>
    </xf>
    <xf numFmtId="4" fontId="18" fillId="11" borderId="6" xfId="0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vertical="center"/>
    </xf>
    <xf numFmtId="191" fontId="18" fillId="11" borderId="0" xfId="2" applyNumberFormat="1" applyFont="1" applyFill="1" applyBorder="1" applyAlignment="1">
      <alignment vertical="center"/>
    </xf>
    <xf numFmtId="191" fontId="18" fillId="11" borderId="0" xfId="0" applyNumberFormat="1" applyFont="1" applyFill="1" applyBorder="1" applyAlignment="1">
      <alignment vertical="center"/>
    </xf>
    <xf numFmtId="0" fontId="21" fillId="13" borderId="15" xfId="0" applyFont="1" applyFill="1" applyBorder="1" applyAlignment="1">
      <alignment horizontal="left" vertical="center"/>
    </xf>
    <xf numFmtId="4" fontId="21" fillId="13" borderId="16" xfId="0" applyNumberFormat="1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vertical="center"/>
    </xf>
    <xf numFmtId="0" fontId="20" fillId="12" borderId="8" xfId="0" applyFont="1" applyFill="1" applyBorder="1" applyAlignment="1">
      <alignment horizontal="left" vertical="center"/>
    </xf>
    <xf numFmtId="0" fontId="20" fillId="12" borderId="9" xfId="0" applyFont="1" applyFill="1" applyBorder="1" applyAlignment="1">
      <alignment horizontal="left" vertical="center"/>
    </xf>
    <xf numFmtId="0" fontId="18" fillId="14" borderId="0" xfId="0" applyFont="1" applyFill="1" applyBorder="1" applyAlignment="1">
      <alignment vertical="center"/>
    </xf>
    <xf numFmtId="0" fontId="21" fillId="13" borderId="10" xfId="0" applyFont="1" applyFill="1" applyBorder="1" applyAlignment="1">
      <alignment vertical="center"/>
    </xf>
    <xf numFmtId="4" fontId="21" fillId="13" borderId="7" xfId="65" applyNumberFormat="1" applyFont="1" applyFill="1" applyBorder="1" applyAlignment="1">
      <alignment vertical="center"/>
    </xf>
    <xf numFmtId="4" fontId="21" fillId="13" borderId="13" xfId="65" applyNumberFormat="1" applyFont="1" applyFill="1" applyBorder="1" applyAlignment="1">
      <alignment vertical="center"/>
    </xf>
    <xf numFmtId="4" fontId="21" fillId="13" borderId="14" xfId="65" applyNumberFormat="1" applyFont="1" applyFill="1" applyBorder="1" applyAlignment="1">
      <alignment vertical="center"/>
    </xf>
    <xf numFmtId="0" fontId="20" fillId="10" borderId="0" xfId="0" applyFont="1" applyFill="1" applyBorder="1" applyAlignment="1">
      <alignment vertical="center"/>
    </xf>
    <xf numFmtId="0" fontId="20" fillId="12" borderId="15" xfId="0" applyFont="1" applyFill="1" applyBorder="1" applyAlignment="1">
      <alignment horizontal="center" vertical="center"/>
    </xf>
    <xf numFmtId="0" fontId="20" fillId="12" borderId="16" xfId="0" applyFont="1" applyFill="1" applyBorder="1" applyAlignment="1">
      <alignment horizontal="center" vertical="center"/>
    </xf>
    <xf numFmtId="0" fontId="20" fillId="12" borderId="17" xfId="0" applyFont="1" applyFill="1" applyBorder="1" applyAlignment="1">
      <alignment horizontal="center" vertical="center"/>
    </xf>
    <xf numFmtId="0" fontId="20" fillId="12" borderId="18" xfId="0" applyFont="1" applyFill="1" applyBorder="1" applyAlignment="1">
      <alignment horizontal="center" vertical="center"/>
    </xf>
    <xf numFmtId="191" fontId="18" fillId="0" borderId="1" xfId="65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/>
    </xf>
    <xf numFmtId="191" fontId="18" fillId="0" borderId="19" xfId="65" applyNumberFormat="1" applyFont="1" applyFill="1" applyBorder="1" applyAlignment="1">
      <alignment horizontal="justify" vertical="center"/>
    </xf>
    <xf numFmtId="4" fontId="18" fillId="0" borderId="19" xfId="0" applyNumberFormat="1" applyFont="1" applyFill="1" applyBorder="1" applyAlignment="1">
      <alignment horizontal="center" vertical="center"/>
    </xf>
    <xf numFmtId="191" fontId="18" fillId="0" borderId="3" xfId="65" applyNumberFormat="1" applyFont="1" applyFill="1" applyBorder="1" applyAlignment="1">
      <alignment horizontal="justify" vertical="center"/>
    </xf>
    <xf numFmtId="4" fontId="18" fillId="0" borderId="3" xfId="0" applyNumberFormat="1" applyFont="1" applyFill="1" applyBorder="1" applyAlignment="1">
      <alignment horizontal="center" vertical="center"/>
    </xf>
    <xf numFmtId="191" fontId="18" fillId="0" borderId="20" xfId="65" applyNumberFormat="1" applyFont="1" applyFill="1" applyBorder="1" applyAlignment="1">
      <alignment horizontal="justify" vertical="center"/>
    </xf>
    <xf numFmtId="4" fontId="18" fillId="0" borderId="2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vertical="center"/>
    </xf>
    <xf numFmtId="0" fontId="20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192" fontId="18" fillId="10" borderId="1" xfId="0" applyNumberFormat="1" applyFont="1" applyFill="1" applyBorder="1" applyAlignment="1">
      <alignment vertical="center"/>
    </xf>
    <xf numFmtId="192" fontId="24" fillId="0" borderId="1" xfId="0" applyNumberFormat="1" applyFont="1" applyFill="1" applyBorder="1" applyAlignment="1"/>
    <xf numFmtId="0" fontId="18" fillId="10" borderId="0" xfId="0" applyFont="1" applyFill="1" applyBorder="1" applyAlignment="1">
      <alignment horizontal="center" vertical="center"/>
    </xf>
    <xf numFmtId="192" fontId="18" fillId="10" borderId="0" xfId="0" applyNumberFormat="1" applyFont="1" applyFill="1" applyBorder="1" applyAlignment="1">
      <alignment vertical="center"/>
    </xf>
    <xf numFmtId="0" fontId="18" fillId="0" borderId="8" xfId="0" applyFont="1" applyFill="1" applyBorder="1" applyAlignment="1">
      <alignment horizontal="justify" vertical="center"/>
    </xf>
    <xf numFmtId="0" fontId="18" fillId="0" borderId="9" xfId="0" applyFont="1" applyFill="1" applyBorder="1" applyAlignment="1">
      <alignment horizontal="justify" vertical="center"/>
    </xf>
    <xf numFmtId="0" fontId="18" fillId="0" borderId="10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wrapText="1"/>
    </xf>
    <xf numFmtId="10" fontId="12" fillId="0" borderId="1" xfId="0" applyNumberFormat="1" applyFont="1" applyBorder="1"/>
    <xf numFmtId="187" fontId="12" fillId="0" borderId="1" xfId="0" applyNumberFormat="1" applyFont="1" applyBorder="1"/>
    <xf numFmtId="0" fontId="18" fillId="0" borderId="13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4" fontId="18" fillId="10" borderId="0" xfId="0" applyNumberFormat="1" applyFont="1" applyFill="1" applyBorder="1" applyAlignment="1">
      <alignment vertical="center"/>
    </xf>
    <xf numFmtId="193" fontId="18" fillId="10" borderId="0" xfId="3" applyNumberFormat="1" applyFont="1" applyFill="1" applyBorder="1" applyAlignment="1">
      <alignment vertical="center"/>
    </xf>
    <xf numFmtId="194" fontId="18" fillId="10" borderId="0" xfId="0" applyNumberFormat="1" applyFont="1" applyFill="1" applyBorder="1" applyAlignment="1">
      <alignment vertical="center"/>
    </xf>
    <xf numFmtId="195" fontId="18" fillId="10" borderId="0" xfId="0" applyNumberFormat="1" applyFont="1" applyFill="1" applyBorder="1" applyAlignment="1">
      <alignment vertical="center"/>
    </xf>
    <xf numFmtId="10" fontId="25" fillId="0" borderId="0" xfId="3" applyNumberFormat="1" applyFont="1" applyFill="1" applyAlignment="1"/>
    <xf numFmtId="185" fontId="15" fillId="0" borderId="1" xfId="0" applyNumberFormat="1" applyFont="1" applyBorder="1"/>
    <xf numFmtId="185" fontId="15" fillId="0" borderId="1" xfId="0" applyNumberFormat="1" applyFont="1" applyFill="1" applyBorder="1"/>
    <xf numFmtId="4" fontId="18" fillId="11" borderId="0" xfId="0" applyNumberFormat="1" applyFont="1" applyFill="1" applyBorder="1" applyAlignment="1">
      <alignment vertical="center"/>
    </xf>
    <xf numFmtId="179" fontId="18" fillId="13" borderId="0" xfId="1" applyNumberFormat="1" applyFont="1" applyFill="1" applyBorder="1" applyAlignment="1">
      <alignment vertical="center"/>
    </xf>
    <xf numFmtId="10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185" fontId="12" fillId="0" borderId="1" xfId="0" applyNumberFormat="1" applyFont="1" applyFill="1" applyBorder="1"/>
    <xf numFmtId="183" fontId="10" fillId="0" borderId="1" xfId="0" applyNumberFormat="1" applyFont="1" applyFill="1" applyBorder="1"/>
    <xf numFmtId="0" fontId="10" fillId="15" borderId="1" xfId="0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83" fontId="12" fillId="0" borderId="1" xfId="0" applyNumberFormat="1" applyFont="1" applyFill="1" applyBorder="1" applyAlignment="1">
      <alignment horizontal="center"/>
    </xf>
    <xf numFmtId="185" fontId="12" fillId="4" borderId="1" xfId="0" applyNumberFormat="1" applyFont="1" applyFill="1" applyBorder="1" applyAlignment="1">
      <alignment horizontal="right"/>
    </xf>
    <xf numFmtId="10" fontId="12" fillId="4" borderId="1" xfId="0" applyNumberFormat="1" applyFont="1" applyFill="1" applyBorder="1"/>
    <xf numFmtId="187" fontId="12" fillId="4" borderId="1" xfId="0" applyNumberFormat="1" applyFont="1" applyFill="1" applyBorder="1"/>
    <xf numFmtId="185" fontId="15" fillId="4" borderId="1" xfId="0" applyNumberFormat="1" applyFont="1" applyFill="1" applyBorder="1"/>
    <xf numFmtId="49" fontId="12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6" fillId="0" borderId="0" xfId="0" applyFont="1"/>
    <xf numFmtId="0" fontId="10" fillId="1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2" applyNumberFormat="1" applyFont="1" applyBorder="1" applyAlignment="1" applyProtection="1">
      <alignment horizontal="center"/>
    </xf>
    <xf numFmtId="181" fontId="12" fillId="0" borderId="1" xfId="0" applyNumberFormat="1" applyFont="1" applyBorder="1" applyAlignment="1">
      <alignment horizontal="center" wrapText="1"/>
    </xf>
    <xf numFmtId="181" fontId="12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4" fillId="1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81" fontId="13" fillId="0" borderId="1" xfId="0" applyNumberFormat="1" applyFont="1" applyBorder="1" applyAlignment="1">
      <alignment horizontal="center" wrapText="1"/>
    </xf>
    <xf numFmtId="18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196" fontId="12" fillId="0" borderId="1" xfId="0" applyNumberFormat="1" applyFont="1" applyBorder="1" applyAlignment="1">
      <alignment horizontal="center"/>
    </xf>
    <xf numFmtId="0" fontId="10" fillId="16" borderId="1" xfId="0" applyFont="1" applyFill="1" applyBorder="1" applyAlignment="1">
      <alignment horizontal="center" vertical="center"/>
    </xf>
    <xf numFmtId="181" fontId="10" fillId="16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7" fillId="0" borderId="0" xfId="0" applyFont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196" fontId="28" fillId="4" borderId="1" xfId="0" applyNumberFormat="1" applyFont="1" applyFill="1" applyBorder="1" applyAlignment="1">
      <alignment vertical="center"/>
    </xf>
    <xf numFmtId="0" fontId="1" fillId="0" borderId="0" xfId="0" applyFont="1" applyBorder="1" applyAlignment="1"/>
    <xf numFmtId="0" fontId="12" fillId="0" borderId="1" xfId="2" applyNumberFormat="1" applyFont="1" applyBorder="1" applyAlignment="1" applyProtection="1">
      <alignment horizontal="center" vertical="center"/>
    </xf>
    <xf numFmtId="181" fontId="12" fillId="0" borderId="1" xfId="0" applyNumberFormat="1" applyFont="1" applyBorder="1" applyAlignment="1">
      <alignment horizontal="center" vertical="center" wrapText="1"/>
    </xf>
    <xf numFmtId="181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2" applyNumberFormat="1" applyFont="1" applyAlignment="1" applyProtection="1">
      <alignment horizontal="center" vertical="center"/>
    </xf>
    <xf numFmtId="181" fontId="12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/>
    </xf>
    <xf numFmtId="181" fontId="0" fillId="0" borderId="0" xfId="0" applyNumberFormat="1"/>
  </cellXfs>
  <cellStyles count="66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Accent 1 14" xfId="49"/>
    <cellStyle name="Accent 13" xfId="50"/>
    <cellStyle name="Accent 2 15" xfId="51"/>
    <cellStyle name="Accent 3 16" xfId="52"/>
    <cellStyle name="Bad 10" xfId="53"/>
    <cellStyle name="Error 12" xfId="54"/>
    <cellStyle name="Footnote 5" xfId="55"/>
    <cellStyle name="Good 8" xfId="56"/>
    <cellStyle name="Heading 1 1" xfId="57"/>
    <cellStyle name="Heading 2 2" xfId="58"/>
    <cellStyle name="Hyperlink 6" xfId="59"/>
    <cellStyle name="Neutral 9" xfId="60"/>
    <cellStyle name="Note 4" xfId="61"/>
    <cellStyle name="Status 7" xfId="62"/>
    <cellStyle name="Text 3" xfId="63"/>
    <cellStyle name="Warning 11" xfId="64"/>
    <cellStyle name="Moeda 2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DEE6EF"/>
      <rgbColor rgb="00808080"/>
      <rgbColor rgb="008EAADB"/>
      <rgbColor rgb="00993366"/>
      <rgbColor rgb="00FFFFCC"/>
      <rgbColor rgb="00E2F0D9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2EFD9"/>
      <rgbColor rgb="00CCFFCC"/>
      <rgbColor rgb="00FFFF99"/>
      <rgbColor rgb="009CC3E5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3600</xdr:colOff>
      <xdr:row>10</xdr:row>
      <xdr:rowOff>69840</xdr:rowOff>
    </xdr:from>
    <xdr:to>
      <xdr:col>3</xdr:col>
      <xdr:colOff>910080</xdr:colOff>
      <xdr:row>10</xdr:row>
      <xdr:rowOff>70560</xdr:rowOff>
    </xdr:to>
    <xdr:pic>
      <xdr:nvPicPr>
        <xdr:cNvPr id="3" name="image4.png"/>
        <xdr:cNvPicPr/>
      </xdr:nvPicPr>
      <xdr:blipFill>
        <a:blip r:embed="rId1"/>
        <a:stretch>
          <a:fillRect/>
        </a:stretch>
      </xdr:blipFill>
      <xdr:spPr>
        <a:xfrm>
          <a:off x="3175" y="3485515"/>
          <a:ext cx="5021580" cy="127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view="pageBreakPreview" zoomScale="80" zoomScaleNormal="80" workbookViewId="0">
      <selection activeCell="M15" sqref="M15"/>
    </sheetView>
  </sheetViews>
  <sheetFormatPr defaultColWidth="9" defaultRowHeight="15"/>
  <cols>
    <col min="1" max="1" width="5.71428571428571" customWidth="1"/>
    <col min="2" max="2" width="27.1333333333333" customWidth="1"/>
    <col min="3" max="3" width="9.42857142857143" customWidth="1"/>
    <col min="4" max="4" width="16.3809523809524" customWidth="1"/>
    <col min="5" max="5" width="12.2857142857143" customWidth="1"/>
    <col min="6" max="6" width="16.1428571428571" customWidth="1"/>
    <col min="7" max="7" width="14.8571428571429" customWidth="1"/>
    <col min="8" max="8" width="17" customWidth="1"/>
    <col min="9" max="9" width="5.07619047619048" customWidth="1"/>
    <col min="10" max="10" width="6" customWidth="1"/>
    <col min="11" max="11" width="10.7809523809524" customWidth="1"/>
    <col min="12" max="12" width="16" customWidth="1"/>
    <col min="13" max="13" width="12.2190476190476" customWidth="1"/>
    <col min="14" max="15" width="13.8" customWidth="1"/>
    <col min="16" max="16" width="15.0761904761905" customWidth="1"/>
    <col min="17" max="1024" width="14.4285714285714" customWidth="1"/>
  </cols>
  <sheetData>
    <row r="1" ht="21" customHeight="1" spans="1:16">
      <c r="A1" s="195" t="s">
        <v>0</v>
      </c>
      <c r="B1" s="195"/>
      <c r="C1" s="195"/>
      <c r="D1" s="195"/>
      <c r="E1" s="195"/>
      <c r="F1" s="195"/>
      <c r="G1" s="195"/>
      <c r="H1" s="195"/>
      <c r="I1" s="223"/>
      <c r="J1" s="195" t="s">
        <v>1</v>
      </c>
      <c r="K1" s="195"/>
      <c r="L1" s="195"/>
      <c r="M1" s="195"/>
      <c r="N1" s="195"/>
      <c r="O1" s="195"/>
      <c r="P1" s="195"/>
    </row>
    <row r="2" ht="17" customHeight="1" spans="1:16">
      <c r="A2" s="196"/>
      <c r="B2" s="196"/>
      <c r="C2" s="196"/>
      <c r="D2" s="196"/>
      <c r="E2" s="196"/>
      <c r="F2" s="196"/>
      <c r="G2" s="196"/>
      <c r="H2" s="196"/>
      <c r="J2" s="196"/>
      <c r="K2" s="196"/>
      <c r="L2" s="196"/>
      <c r="M2" s="196"/>
      <c r="N2" s="196"/>
      <c r="O2" s="196"/>
      <c r="P2" s="196"/>
    </row>
    <row r="3" ht="21" customHeight="1" spans="1:16">
      <c r="A3" s="197" t="s">
        <v>2</v>
      </c>
      <c r="B3" s="197"/>
      <c r="C3" s="197"/>
      <c r="D3" s="197"/>
      <c r="E3" s="197"/>
      <c r="F3" s="197"/>
      <c r="G3" s="197"/>
      <c r="H3" s="197"/>
      <c r="J3" s="197" t="s">
        <v>3</v>
      </c>
      <c r="K3" s="197"/>
      <c r="L3" s="197"/>
      <c r="M3" s="197"/>
      <c r="N3" s="197"/>
      <c r="O3" s="197"/>
      <c r="P3" s="197"/>
    </row>
    <row r="4" ht="37" customHeight="1" spans="1:16">
      <c r="A4" s="197" t="s">
        <v>4</v>
      </c>
      <c r="B4" s="197" t="s">
        <v>5</v>
      </c>
      <c r="C4" s="197" t="s">
        <v>6</v>
      </c>
      <c r="D4" s="197" t="s">
        <v>7</v>
      </c>
      <c r="E4" s="197" t="s">
        <v>8</v>
      </c>
      <c r="F4" s="197" t="s">
        <v>9</v>
      </c>
      <c r="G4" s="197" t="s">
        <v>10</v>
      </c>
      <c r="H4" s="197" t="s">
        <v>11</v>
      </c>
      <c r="J4" s="197" t="s">
        <v>4</v>
      </c>
      <c r="K4" s="197" t="s">
        <v>12</v>
      </c>
      <c r="L4" s="197" t="s">
        <v>7</v>
      </c>
      <c r="M4" s="197" t="s">
        <v>8</v>
      </c>
      <c r="N4" s="197" t="s">
        <v>9</v>
      </c>
      <c r="O4" s="197" t="s">
        <v>10</v>
      </c>
      <c r="P4" s="197" t="s">
        <v>11</v>
      </c>
    </row>
    <row r="5" ht="21" customHeight="1" spans="1:16">
      <c r="A5" s="198">
        <v>1</v>
      </c>
      <c r="B5" s="37" t="s">
        <v>13</v>
      </c>
      <c r="C5" s="29" t="str">
        <f>'MOTORISTA TERESINA'!I18</f>
        <v>7825-10</v>
      </c>
      <c r="D5" s="198" t="s">
        <v>14</v>
      </c>
      <c r="E5" s="199">
        <v>23</v>
      </c>
      <c r="F5" s="200">
        <f>'MOTORISTA TERESINA'!I141</f>
        <v>5522.86666666667</v>
      </c>
      <c r="G5" s="200">
        <f>F5*12</f>
        <v>66274.4</v>
      </c>
      <c r="H5" s="201">
        <f>E5*G5</f>
        <v>1524311.2</v>
      </c>
      <c r="J5" s="54">
        <v>1</v>
      </c>
      <c r="K5" s="37" t="s">
        <v>3</v>
      </c>
      <c r="L5" s="54" t="s">
        <v>15</v>
      </c>
      <c r="M5" s="224">
        <v>1390</v>
      </c>
      <c r="N5" s="225">
        <f>DIÁRIAS!I141</f>
        <v>266.66</v>
      </c>
      <c r="O5" s="225">
        <f>N5*12</f>
        <v>3199.92</v>
      </c>
      <c r="P5" s="226">
        <f>M5*O5</f>
        <v>4447888.8</v>
      </c>
    </row>
    <row r="6" ht="21" customHeight="1" spans="1:16">
      <c r="A6" s="198">
        <v>2</v>
      </c>
      <c r="B6" s="37" t="s">
        <v>3</v>
      </c>
      <c r="C6" s="29"/>
      <c r="D6" s="54" t="s">
        <v>15</v>
      </c>
      <c r="E6" s="199">
        <v>510</v>
      </c>
      <c r="F6" s="200">
        <f>DIÁRIAS!I141</f>
        <v>266.66</v>
      </c>
      <c r="G6" s="200">
        <f>F6*12</f>
        <v>3199.92</v>
      </c>
      <c r="H6" s="201">
        <f>E6*G6</f>
        <v>1631959.2</v>
      </c>
      <c r="J6" s="227"/>
      <c r="K6" s="228"/>
      <c r="L6" s="227"/>
      <c r="M6" s="229"/>
      <c r="N6" s="230"/>
      <c r="O6" s="230"/>
      <c r="P6" s="231"/>
    </row>
    <row r="7" ht="21" customHeight="1" spans="1:8">
      <c r="A7" s="202"/>
      <c r="B7" s="203"/>
      <c r="C7" s="203"/>
      <c r="D7" s="203"/>
      <c r="E7" s="203"/>
      <c r="F7" s="203"/>
      <c r="G7" s="203"/>
      <c r="H7" s="204"/>
    </row>
    <row r="8" ht="21" customHeight="1" spans="1:8">
      <c r="A8" s="197" t="s">
        <v>16</v>
      </c>
      <c r="B8" s="197"/>
      <c r="C8" s="197"/>
      <c r="D8" s="197"/>
      <c r="E8" s="197"/>
      <c r="F8" s="197"/>
      <c r="G8" s="197"/>
      <c r="H8" s="197"/>
    </row>
    <row r="9" ht="39" customHeight="1" spans="1:8">
      <c r="A9" s="197" t="s">
        <v>4</v>
      </c>
      <c r="B9" s="197" t="s">
        <v>5</v>
      </c>
      <c r="C9" s="197" t="s">
        <v>6</v>
      </c>
      <c r="D9" s="197" t="s">
        <v>7</v>
      </c>
      <c r="E9" s="197" t="s">
        <v>8</v>
      </c>
      <c r="F9" s="197" t="s">
        <v>9</v>
      </c>
      <c r="G9" s="197" t="s">
        <v>10</v>
      </c>
      <c r="H9" s="197" t="s">
        <v>11</v>
      </c>
    </row>
    <row r="10" ht="21" customHeight="1" spans="1:8">
      <c r="A10" s="198">
        <v>1</v>
      </c>
      <c r="B10" s="37" t="s">
        <v>17</v>
      </c>
      <c r="C10" s="29" t="str">
        <f>'MOTORISTA CT TERESINA'!I18</f>
        <v>7825-10</v>
      </c>
      <c r="D10" s="198" t="s">
        <v>14</v>
      </c>
      <c r="E10" s="29">
        <v>1</v>
      </c>
      <c r="F10" s="200">
        <f>'MOTORISTA CT TERESINA'!I141</f>
        <v>5522.86666666667</v>
      </c>
      <c r="G10" s="200">
        <f>F10*12</f>
        <v>66274.4</v>
      </c>
      <c r="H10" s="201">
        <f>E10*G10</f>
        <v>66274.4</v>
      </c>
    </row>
    <row r="11" ht="21" customHeight="1" spans="1:8">
      <c r="A11" s="198">
        <v>2</v>
      </c>
      <c r="B11" s="37" t="s">
        <v>3</v>
      </c>
      <c r="C11" s="29"/>
      <c r="D11" s="54" t="s">
        <v>15</v>
      </c>
      <c r="E11" s="29">
        <v>50</v>
      </c>
      <c r="F11" s="200">
        <f>DIÁRIAS!I141</f>
        <v>266.66</v>
      </c>
      <c r="G11" s="200">
        <f>F11*12</f>
        <v>3199.92</v>
      </c>
      <c r="H11" s="201">
        <f>E11*G11</f>
        <v>159996</v>
      </c>
    </row>
    <row r="12" ht="21" customHeight="1" spans="1:8">
      <c r="A12" s="202"/>
      <c r="B12" s="203"/>
      <c r="C12" s="203"/>
      <c r="D12" s="203"/>
      <c r="E12" s="203"/>
      <c r="F12" s="203"/>
      <c r="G12" s="203"/>
      <c r="H12" s="204"/>
    </row>
    <row r="13" ht="21" customHeight="1" spans="1:8">
      <c r="A13" s="205" t="s">
        <v>18</v>
      </c>
      <c r="B13" s="205"/>
      <c r="C13" s="205"/>
      <c r="D13" s="205"/>
      <c r="E13" s="205"/>
      <c r="F13" s="205"/>
      <c r="G13" s="205"/>
      <c r="H13" s="205"/>
    </row>
    <row r="14" ht="39" customHeight="1" spans="1:8">
      <c r="A14" s="205" t="s">
        <v>4</v>
      </c>
      <c r="B14" s="205" t="s">
        <v>5</v>
      </c>
      <c r="C14" s="205" t="s">
        <v>6</v>
      </c>
      <c r="D14" s="205" t="s">
        <v>7</v>
      </c>
      <c r="E14" s="205" t="s">
        <v>8</v>
      </c>
      <c r="F14" s="205" t="s">
        <v>9</v>
      </c>
      <c r="G14" s="205" t="s">
        <v>10</v>
      </c>
      <c r="H14" s="205" t="s">
        <v>11</v>
      </c>
    </row>
    <row r="15" ht="21" customHeight="1" spans="1:8">
      <c r="A15" s="206">
        <v>1</v>
      </c>
      <c r="B15" s="207" t="s">
        <v>19</v>
      </c>
      <c r="C15" s="208" t="str">
        <f>'MOTORISTA FLORIANO'!I18</f>
        <v>7825-10</v>
      </c>
      <c r="D15" s="206" t="s">
        <v>14</v>
      </c>
      <c r="E15" s="208">
        <v>3</v>
      </c>
      <c r="F15" s="209">
        <f>'MOTORISTA FLORIANO'!I141</f>
        <v>4475.51</v>
      </c>
      <c r="G15" s="209">
        <f>F15*12</f>
        <v>53706.12</v>
      </c>
      <c r="H15" s="210">
        <f>E15*G15</f>
        <v>161118.36</v>
      </c>
    </row>
    <row r="16" ht="21" customHeight="1" spans="1:8">
      <c r="A16" s="206">
        <v>2</v>
      </c>
      <c r="B16" s="207" t="s">
        <v>3</v>
      </c>
      <c r="C16" s="208"/>
      <c r="D16" s="211" t="s">
        <v>15</v>
      </c>
      <c r="E16" s="208">
        <v>130</v>
      </c>
      <c r="F16" s="209">
        <f>DIÁRIAS!I141</f>
        <v>266.66</v>
      </c>
      <c r="G16" s="209">
        <f>F16*12</f>
        <v>3199.92</v>
      </c>
      <c r="H16" s="210">
        <f>E16*G16</f>
        <v>415989.6</v>
      </c>
    </row>
    <row r="17" ht="21" customHeight="1" spans="1:8">
      <c r="A17" s="212"/>
      <c r="B17" s="213"/>
      <c r="C17" s="213"/>
      <c r="D17" s="213"/>
      <c r="E17" s="213"/>
      <c r="F17" s="213"/>
      <c r="G17" s="213"/>
      <c r="H17" s="214"/>
    </row>
    <row r="18" ht="21" customHeight="1" spans="1:8">
      <c r="A18" s="205" t="s">
        <v>20</v>
      </c>
      <c r="B18" s="205"/>
      <c r="C18" s="205"/>
      <c r="D18" s="205"/>
      <c r="E18" s="205"/>
      <c r="F18" s="205"/>
      <c r="G18" s="205"/>
      <c r="H18" s="205"/>
    </row>
    <row r="19" ht="39" customHeight="1" spans="1:8">
      <c r="A19" s="205" t="s">
        <v>4</v>
      </c>
      <c r="B19" s="205" t="s">
        <v>5</v>
      </c>
      <c r="C19" s="205" t="s">
        <v>6</v>
      </c>
      <c r="D19" s="205" t="s">
        <v>7</v>
      </c>
      <c r="E19" s="205" t="s">
        <v>8</v>
      </c>
      <c r="F19" s="205" t="s">
        <v>9</v>
      </c>
      <c r="G19" s="205" t="s">
        <v>10</v>
      </c>
      <c r="H19" s="205" t="s">
        <v>11</v>
      </c>
    </row>
    <row r="20" ht="21" customHeight="1" spans="1:8">
      <c r="A20" s="206">
        <v>1</v>
      </c>
      <c r="B20" s="207" t="s">
        <v>21</v>
      </c>
      <c r="C20" s="208" t="str">
        <f>'MOTORISTA CT FLORIANO'!I18</f>
        <v>7825-10</v>
      </c>
      <c r="D20" s="206" t="s">
        <v>14</v>
      </c>
      <c r="E20" s="208">
        <v>4</v>
      </c>
      <c r="F20" s="209">
        <f>'MOTORISTA CT FLORIANO'!I141</f>
        <v>4475.98</v>
      </c>
      <c r="G20" s="209">
        <f>F20*12</f>
        <v>53711.76</v>
      </c>
      <c r="H20" s="210">
        <f>E20*G20</f>
        <v>214847.04</v>
      </c>
    </row>
    <row r="21" ht="21" customHeight="1" spans="1:8">
      <c r="A21" s="206">
        <v>2</v>
      </c>
      <c r="B21" s="207" t="s">
        <v>3</v>
      </c>
      <c r="C21" s="208"/>
      <c r="D21" s="211" t="s">
        <v>15</v>
      </c>
      <c r="E21" s="208">
        <v>170</v>
      </c>
      <c r="F21" s="209">
        <f>DIÁRIAS!I141</f>
        <v>266.66</v>
      </c>
      <c r="G21" s="209">
        <f>F21*12</f>
        <v>3199.92</v>
      </c>
      <c r="H21" s="210">
        <f>E21*G21</f>
        <v>543986.4</v>
      </c>
    </row>
    <row r="22" ht="21" customHeight="1" spans="1:8">
      <c r="A22" s="202"/>
      <c r="B22" s="203"/>
      <c r="C22" s="203"/>
      <c r="D22" s="203"/>
      <c r="E22" s="203"/>
      <c r="F22" s="203"/>
      <c r="G22" s="203"/>
      <c r="H22" s="204"/>
    </row>
    <row r="23" ht="21" customHeight="1" spans="1:8">
      <c r="A23" s="197" t="s">
        <v>22</v>
      </c>
      <c r="B23" s="197"/>
      <c r="C23" s="197"/>
      <c r="D23" s="197"/>
      <c r="E23" s="197"/>
      <c r="F23" s="197"/>
      <c r="G23" s="197"/>
      <c r="H23" s="197"/>
    </row>
    <row r="24" ht="37" customHeight="1" spans="1:8">
      <c r="A24" s="197" t="s">
        <v>4</v>
      </c>
      <c r="B24" s="197" t="s">
        <v>5</v>
      </c>
      <c r="C24" s="197" t="s">
        <v>6</v>
      </c>
      <c r="D24" s="197" t="s">
        <v>7</v>
      </c>
      <c r="E24" s="197" t="s">
        <v>8</v>
      </c>
      <c r="F24" s="197" t="s">
        <v>9</v>
      </c>
      <c r="G24" s="197" t="s">
        <v>10</v>
      </c>
      <c r="H24" s="197" t="s">
        <v>11</v>
      </c>
    </row>
    <row r="25" ht="21" customHeight="1" spans="1:8">
      <c r="A25" s="198">
        <v>1</v>
      </c>
      <c r="B25" s="37" t="s">
        <v>23</v>
      </c>
      <c r="C25" s="29" t="str">
        <f>'MOTORISTA BOM JESUS'!I18</f>
        <v>7825-10</v>
      </c>
      <c r="D25" s="198" t="s">
        <v>14</v>
      </c>
      <c r="E25" s="29">
        <v>5</v>
      </c>
      <c r="F25" s="200">
        <f>'MOTORISTA BOM JESUS'!I141</f>
        <v>5429.94666666667</v>
      </c>
      <c r="G25" s="200">
        <f>F25*12</f>
        <v>65159.36</v>
      </c>
      <c r="H25" s="201">
        <f>E25*G25</f>
        <v>325796.8</v>
      </c>
    </row>
    <row r="26" ht="21" customHeight="1" spans="1:8">
      <c r="A26" s="198">
        <v>2</v>
      </c>
      <c r="B26" s="37" t="s">
        <v>3</v>
      </c>
      <c r="C26" s="29"/>
      <c r="D26" s="54" t="s">
        <v>15</v>
      </c>
      <c r="E26" s="29">
        <v>240</v>
      </c>
      <c r="F26" s="200">
        <f>DIÁRIAS!I141</f>
        <v>266.66</v>
      </c>
      <c r="G26" s="200">
        <f>F26*12</f>
        <v>3199.92</v>
      </c>
      <c r="H26" s="201">
        <f>E26*G26</f>
        <v>767980.8</v>
      </c>
    </row>
    <row r="27" ht="21" customHeight="1" spans="1:8">
      <c r="A27" s="202"/>
      <c r="B27" s="203"/>
      <c r="C27" s="203"/>
      <c r="D27" s="203"/>
      <c r="E27" s="203"/>
      <c r="F27" s="203"/>
      <c r="G27" s="203"/>
      <c r="H27" s="204"/>
    </row>
    <row r="28" ht="21" customHeight="1" spans="1:8">
      <c r="A28" s="197" t="s">
        <v>24</v>
      </c>
      <c r="B28" s="197"/>
      <c r="C28" s="197"/>
      <c r="D28" s="197"/>
      <c r="E28" s="197"/>
      <c r="F28" s="197"/>
      <c r="G28" s="197"/>
      <c r="H28" s="197"/>
    </row>
    <row r="29" ht="39" customHeight="1" spans="1:8">
      <c r="A29" s="197" t="s">
        <v>4</v>
      </c>
      <c r="B29" s="197" t="s">
        <v>5</v>
      </c>
      <c r="C29" s="197" t="s">
        <v>6</v>
      </c>
      <c r="D29" s="197" t="s">
        <v>7</v>
      </c>
      <c r="E29" s="197" t="s">
        <v>8</v>
      </c>
      <c r="F29" s="197" t="s">
        <v>9</v>
      </c>
      <c r="G29" s="197" t="s">
        <v>10</v>
      </c>
      <c r="H29" s="197" t="s">
        <v>11</v>
      </c>
    </row>
    <row r="30" ht="21" customHeight="1" spans="1:8">
      <c r="A30" s="198">
        <v>1</v>
      </c>
      <c r="B30" s="37" t="s">
        <v>25</v>
      </c>
      <c r="C30" s="29" t="str">
        <f>'MOTORISTA CT BOM JESUS'!I18</f>
        <v>7825-10</v>
      </c>
      <c r="D30" s="198" t="s">
        <v>14</v>
      </c>
      <c r="E30" s="29">
        <v>4</v>
      </c>
      <c r="F30" s="200">
        <f>'MOTORISTA CT BOM JESUS'!I141</f>
        <v>5429.94666666667</v>
      </c>
      <c r="G30" s="200">
        <f>F30*12</f>
        <v>65159.36</v>
      </c>
      <c r="H30" s="201">
        <f>E30*G30</f>
        <v>260637.44</v>
      </c>
    </row>
    <row r="31" ht="21" customHeight="1" spans="1:8">
      <c r="A31" s="198">
        <v>2</v>
      </c>
      <c r="B31" s="37" t="s">
        <v>3</v>
      </c>
      <c r="C31" s="29"/>
      <c r="D31" s="54" t="s">
        <v>15</v>
      </c>
      <c r="E31" s="29">
        <v>60</v>
      </c>
      <c r="F31" s="200">
        <f>DIÁRIAS!I141</f>
        <v>266.66</v>
      </c>
      <c r="G31" s="200">
        <f>F31*12</f>
        <v>3199.92</v>
      </c>
      <c r="H31" s="201">
        <f>E31*G31</f>
        <v>191995.2</v>
      </c>
    </row>
    <row r="32" ht="21" customHeight="1" spans="1:8">
      <c r="A32" s="202"/>
      <c r="B32" s="203"/>
      <c r="C32" s="203"/>
      <c r="D32" s="203"/>
      <c r="E32" s="203"/>
      <c r="F32" s="203"/>
      <c r="G32" s="203"/>
      <c r="H32" s="204"/>
    </row>
    <row r="33" ht="21" customHeight="1" spans="1:8">
      <c r="A33" s="197" t="s">
        <v>26</v>
      </c>
      <c r="B33" s="197"/>
      <c r="C33" s="197"/>
      <c r="D33" s="197"/>
      <c r="E33" s="197"/>
      <c r="F33" s="197"/>
      <c r="G33" s="197"/>
      <c r="H33" s="197"/>
    </row>
    <row r="34" ht="38" customHeight="1" spans="1:8">
      <c r="A34" s="197" t="s">
        <v>4</v>
      </c>
      <c r="B34" s="197" t="s">
        <v>5</v>
      </c>
      <c r="C34" s="197" t="s">
        <v>6</v>
      </c>
      <c r="D34" s="197" t="s">
        <v>7</v>
      </c>
      <c r="E34" s="197" t="s">
        <v>8</v>
      </c>
      <c r="F34" s="197" t="s">
        <v>9</v>
      </c>
      <c r="G34" s="197" t="s">
        <v>10</v>
      </c>
      <c r="H34" s="197" t="s">
        <v>11</v>
      </c>
    </row>
    <row r="35" ht="21" customHeight="1" spans="1:8">
      <c r="A35" s="198">
        <v>1</v>
      </c>
      <c r="B35" s="37" t="s">
        <v>27</v>
      </c>
      <c r="C35" s="29" t="str">
        <f>'MOTORISTA HVU BOM JESUS'!I18</f>
        <v>7825-10</v>
      </c>
      <c r="D35" s="198" t="s">
        <v>14</v>
      </c>
      <c r="E35" s="29">
        <v>1</v>
      </c>
      <c r="F35" s="200">
        <f>'MOTORISTA HVU BOM JESUS'!I141</f>
        <v>5429.94666666667</v>
      </c>
      <c r="G35" s="200">
        <f>F35*12</f>
        <v>65159.36</v>
      </c>
      <c r="H35" s="201">
        <f>E35*G35</f>
        <v>65159.36</v>
      </c>
    </row>
    <row r="36" ht="21" customHeight="1" spans="1:8">
      <c r="A36" s="198">
        <v>2</v>
      </c>
      <c r="B36" s="37" t="s">
        <v>3</v>
      </c>
      <c r="C36" s="29"/>
      <c r="D36" s="54" t="s">
        <v>15</v>
      </c>
      <c r="E36" s="29">
        <v>60</v>
      </c>
      <c r="F36" s="200">
        <f>DIÁRIAS!I141</f>
        <v>266.66</v>
      </c>
      <c r="G36" s="200">
        <f>F36*12</f>
        <v>3199.92</v>
      </c>
      <c r="H36" s="201">
        <f>E36*G36</f>
        <v>191995.2</v>
      </c>
    </row>
    <row r="37" ht="13" customHeight="1" spans="1:8">
      <c r="A37" s="196"/>
      <c r="B37" s="215"/>
      <c r="C37" s="215"/>
      <c r="D37" s="196"/>
      <c r="E37" s="196"/>
      <c r="F37" s="196"/>
      <c r="G37" s="196"/>
      <c r="H37" s="196"/>
    </row>
    <row r="38" ht="18" customHeight="1" spans="1:8">
      <c r="A38" s="197" t="s">
        <v>28</v>
      </c>
      <c r="B38" s="197"/>
      <c r="C38" s="197"/>
      <c r="D38" s="197"/>
      <c r="E38" s="197"/>
      <c r="F38" s="197"/>
      <c r="G38" s="197"/>
      <c r="H38" s="197"/>
    </row>
    <row r="39" ht="37" customHeight="1" spans="1:8">
      <c r="A39" s="197" t="s">
        <v>4</v>
      </c>
      <c r="B39" s="197" t="s">
        <v>5</v>
      </c>
      <c r="C39" s="197" t="s">
        <v>6</v>
      </c>
      <c r="D39" s="197" t="s">
        <v>7</v>
      </c>
      <c r="E39" s="197" t="s">
        <v>8</v>
      </c>
      <c r="F39" s="197" t="s">
        <v>9</v>
      </c>
      <c r="G39" s="197" t="s">
        <v>10</v>
      </c>
      <c r="H39" s="197" t="s">
        <v>11</v>
      </c>
    </row>
    <row r="40" ht="21" customHeight="1" spans="1:8">
      <c r="A40" s="198">
        <v>1</v>
      </c>
      <c r="B40" s="198" t="s">
        <v>29</v>
      </c>
      <c r="C40" s="29" t="str">
        <f>'MOTORISTA PICOS'!I18</f>
        <v>7825-10</v>
      </c>
      <c r="D40" s="198" t="s">
        <v>14</v>
      </c>
      <c r="E40" s="29">
        <v>5</v>
      </c>
      <c r="F40" s="216">
        <f>'MOTORISTA PICOS'!I141</f>
        <v>5587.51666666667</v>
      </c>
      <c r="G40" s="200">
        <f>F40*12</f>
        <v>67050.2</v>
      </c>
      <c r="H40" s="201">
        <f>E40*G40</f>
        <v>335251</v>
      </c>
    </row>
    <row r="41" ht="21" customHeight="1" spans="1:8">
      <c r="A41" s="198">
        <v>2</v>
      </c>
      <c r="B41" s="37" t="s">
        <v>3</v>
      </c>
      <c r="C41" s="29"/>
      <c r="D41" s="54" t="s">
        <v>15</v>
      </c>
      <c r="E41" s="29">
        <v>170</v>
      </c>
      <c r="F41" s="216">
        <f>DIÁRIAS!I141</f>
        <v>266.66</v>
      </c>
      <c r="G41" s="200">
        <f>F41*12</f>
        <v>3199.92</v>
      </c>
      <c r="H41" s="201">
        <f>E41*G41</f>
        <v>543986.4</v>
      </c>
    </row>
    <row r="42" ht="10" customHeight="1" spans="1:8">
      <c r="A42" s="196"/>
      <c r="B42" s="215"/>
      <c r="C42" s="215"/>
      <c r="D42" s="196"/>
      <c r="E42" s="196"/>
      <c r="F42" s="196"/>
      <c r="G42" s="196"/>
      <c r="H42" s="196"/>
    </row>
    <row r="43" ht="21" customHeight="1" spans="1:10">
      <c r="A43" s="217" t="s">
        <v>30</v>
      </c>
      <c r="B43" s="217"/>
      <c r="C43" s="217"/>
      <c r="D43" s="217"/>
      <c r="E43" s="217"/>
      <c r="F43" s="217"/>
      <c r="G43" s="217"/>
      <c r="H43" s="218">
        <f>SUM(H5,H10,H15,H20,H25,H30,H35,H40)</f>
        <v>2953395.6</v>
      </c>
      <c r="J43" s="232"/>
    </row>
    <row r="44" ht="7" customHeight="1" spans="1:8">
      <c r="A44" s="215"/>
      <c r="B44" s="219"/>
      <c r="C44" s="219"/>
      <c r="D44" s="219"/>
      <c r="E44" s="219"/>
      <c r="F44" s="219"/>
      <c r="G44" s="219"/>
      <c r="H44" s="219"/>
    </row>
    <row r="45" ht="7" customHeight="1" spans="1:8">
      <c r="A45" s="220"/>
      <c r="B45" s="220"/>
      <c r="C45" s="220"/>
      <c r="D45" s="220"/>
      <c r="E45" s="220"/>
      <c r="F45" s="220"/>
      <c r="G45" s="220"/>
      <c r="H45" s="220"/>
    </row>
    <row r="46" hidden="1"/>
    <row r="47" ht="24" customHeight="1" spans="1:8">
      <c r="A47" s="221" t="s">
        <v>31</v>
      </c>
      <c r="B47" s="221"/>
      <c r="C47" s="221"/>
      <c r="D47" s="221"/>
      <c r="E47" s="221"/>
      <c r="F47" s="221"/>
      <c r="G47" s="221"/>
      <c r="H47" s="222">
        <f>SUM(H43,P5)</f>
        <v>7401284.4</v>
      </c>
    </row>
  </sheetData>
  <mergeCells count="20">
    <mergeCell ref="A1:H1"/>
    <mergeCell ref="J1:P1"/>
    <mergeCell ref="A3:H3"/>
    <mergeCell ref="J3:P3"/>
    <mergeCell ref="A7:H7"/>
    <mergeCell ref="A8:H8"/>
    <mergeCell ref="A12:H12"/>
    <mergeCell ref="A13:H13"/>
    <mergeCell ref="A17:H17"/>
    <mergeCell ref="A18:H18"/>
    <mergeCell ref="A22:H22"/>
    <mergeCell ref="A23:H23"/>
    <mergeCell ref="A27:H27"/>
    <mergeCell ref="A28:H28"/>
    <mergeCell ref="A32:H32"/>
    <mergeCell ref="A33:H33"/>
    <mergeCell ref="A38:H38"/>
    <mergeCell ref="A43:G43"/>
    <mergeCell ref="A45:H45"/>
    <mergeCell ref="A47:G47"/>
  </mergeCells>
  <pageMargins left="0.236111111111111" right="0.236111111111111" top="1.05069444444444" bottom="1.05069444444444" header="0.511805555555555" footer="0.511805555555555"/>
  <pageSetup paperSize="9" scale="51" firstPageNumber="0" orientation="landscape" useFirstPageNumber="1" horizontalDpi="300" verticalDpi="300"/>
  <headerFooter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9"/>
  <sheetViews>
    <sheetView view="pageBreakPreview" zoomScale="80" zoomScaleNormal="110" topLeftCell="A97" workbookViewId="0">
      <selection activeCell="I116" sqref="I116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25.7142857142857" customWidth="1"/>
    <col min="11" max="11" width="41.7714285714286" customWidth="1"/>
    <col min="12" max="12" width="38.0285714285714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9">
      <c r="A1" s="24" t="s">
        <v>231</v>
      </c>
      <c r="B1" s="24"/>
      <c r="C1" s="24"/>
      <c r="D1" s="24"/>
      <c r="E1" s="24"/>
      <c r="F1" s="24"/>
      <c r="G1" s="24"/>
      <c r="H1" s="24"/>
      <c r="I1" s="24"/>
    </row>
    <row r="2" customFormat="1" spans="1:9">
      <c r="A2" s="25"/>
      <c r="B2" s="26"/>
      <c r="C2" s="26"/>
      <c r="D2" s="26"/>
      <c r="E2" s="26"/>
      <c r="F2" s="26"/>
      <c r="G2" s="26"/>
      <c r="H2" s="26"/>
      <c r="I2" s="26"/>
    </row>
    <row r="3" customFormat="1" spans="1:9">
      <c r="A3" s="27" t="s">
        <v>3</v>
      </c>
      <c r="B3" s="27"/>
      <c r="C3" s="27"/>
      <c r="D3" s="27"/>
      <c r="E3" s="27"/>
      <c r="F3" s="27"/>
      <c r="G3" s="27"/>
      <c r="H3" s="27"/>
      <c r="I3" s="27"/>
    </row>
    <row r="4" customFormat="1" spans="1:9">
      <c r="A4" s="28"/>
      <c r="B4" s="28"/>
      <c r="C4" s="28"/>
      <c r="D4" s="28"/>
      <c r="E4" s="28"/>
      <c r="F4" s="28"/>
      <c r="G4" s="28"/>
      <c r="H4" s="28"/>
      <c r="I4" s="28"/>
    </row>
    <row r="5" customFormat="1" spans="1:9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</row>
    <row r="6" customFormat="1" spans="1:9">
      <c r="A6" s="28"/>
      <c r="B6" s="28"/>
      <c r="C6" s="28"/>
      <c r="D6" s="28"/>
      <c r="E6" s="28"/>
      <c r="F6" s="28"/>
      <c r="G6" s="28"/>
      <c r="H6" s="28"/>
      <c r="I6" s="28"/>
    </row>
    <row r="7" customFormat="1" spans="1:9">
      <c r="A7" s="30" t="s">
        <v>37</v>
      </c>
      <c r="B7" s="30"/>
      <c r="C7" s="30"/>
      <c r="D7" s="30"/>
      <c r="E7" s="30"/>
      <c r="F7" s="30"/>
      <c r="G7" s="30"/>
      <c r="H7" s="30"/>
      <c r="I7" s="30"/>
    </row>
    <row r="8" customFormat="1" spans="1:9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</row>
    <row r="9" customFormat="1" spans="1:9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</row>
    <row r="10" customFormat="1" spans="1:9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/>
    </row>
    <row r="11" customFormat="1" spans="1:9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</row>
    <row r="12" customForma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customFormat="1" spans="1:9">
      <c r="A13" s="30" t="s">
        <v>52</v>
      </c>
      <c r="B13" s="30"/>
      <c r="C13" s="30"/>
      <c r="D13" s="30"/>
      <c r="E13" s="30"/>
      <c r="F13" s="30"/>
      <c r="G13" s="30"/>
      <c r="H13" s="30"/>
      <c r="I13" s="30"/>
    </row>
    <row r="14" customFormat="1" ht="12.75" customHeight="1" spans="1:9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</row>
    <row r="15" customFormat="1" ht="26.85" customHeight="1" spans="1:9">
      <c r="A15" s="33" t="s">
        <v>232</v>
      </c>
      <c r="B15" s="33"/>
      <c r="C15" s="34" t="s">
        <v>55</v>
      </c>
      <c r="D15" s="34"/>
      <c r="E15" s="35">
        <v>1390</v>
      </c>
      <c r="F15" s="35"/>
      <c r="G15" s="35"/>
      <c r="H15" s="35"/>
      <c r="I15" s="35"/>
    </row>
    <row r="16" customFormat="1" spans="1:9">
      <c r="A16" s="30" t="s">
        <v>60</v>
      </c>
      <c r="B16" s="30"/>
      <c r="C16" s="30"/>
      <c r="D16" s="30"/>
      <c r="E16" s="30"/>
      <c r="F16" s="30"/>
      <c r="G16" s="30"/>
      <c r="H16" s="30"/>
      <c r="I16" s="30"/>
    </row>
    <row r="17" customFormat="1" spans="1:10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233</v>
      </c>
      <c r="J17" s="52"/>
    </row>
    <row r="18" customFormat="1" spans="1:9">
      <c r="A18" s="35">
        <v>2</v>
      </c>
      <c r="B18" s="36" t="s">
        <v>234</v>
      </c>
      <c r="C18" s="36"/>
      <c r="D18" s="36"/>
      <c r="E18" s="36"/>
      <c r="F18" s="36"/>
      <c r="G18" s="36"/>
      <c r="H18" s="36"/>
      <c r="I18" s="35">
        <v>21849</v>
      </c>
    </row>
    <row r="19" customFormat="1" spans="1:9">
      <c r="A19" s="35">
        <v>3</v>
      </c>
      <c r="B19" s="36" t="s">
        <v>235</v>
      </c>
      <c r="C19" s="36"/>
      <c r="D19" s="36"/>
      <c r="E19" s="36"/>
      <c r="F19" s="36"/>
      <c r="G19" s="36"/>
      <c r="H19" s="36"/>
      <c r="I19" s="53">
        <v>238.5</v>
      </c>
    </row>
    <row r="20" customFormat="1" spans="1:9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/>
    </row>
    <row r="21" customFormat="1" spans="1:9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/>
    </row>
    <row r="22" customFormat="1" spans="1:9">
      <c r="A22" s="39"/>
      <c r="B22" s="39"/>
      <c r="C22" s="39"/>
      <c r="D22" s="39"/>
      <c r="E22" s="39"/>
      <c r="F22" s="39"/>
      <c r="G22" s="39"/>
      <c r="H22" s="39"/>
      <c r="I22" s="39"/>
    </row>
    <row r="23" customFormat="1" ht="15.75" customHeight="1" spans="1:9">
      <c r="A23" s="30" t="s">
        <v>77</v>
      </c>
      <c r="B23" s="30"/>
      <c r="C23" s="30"/>
      <c r="D23" s="30"/>
      <c r="E23" s="30"/>
      <c r="F23" s="30"/>
      <c r="G23" s="30"/>
      <c r="H23" s="30"/>
      <c r="I23" s="30"/>
    </row>
    <row r="24" customFormat="1" ht="15.75" customHeight="1" spans="1:9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</row>
    <row r="25" customFormat="1" ht="15.75" customHeight="1" spans="1:9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v>0</v>
      </c>
    </row>
    <row r="26" customFormat="1" ht="15.75" customHeight="1" spans="1:9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</row>
    <row r="27" customFormat="1" ht="15.75" customHeight="1" spans="1:9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</row>
    <row r="28" customFormat="1" ht="15.75" customHeight="1" spans="1:9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</row>
    <row r="29" customFormat="1" ht="15.75" customHeight="1" spans="1:9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</row>
    <row r="30" customFormat="1" ht="15.75" customHeight="1" spans="1:9">
      <c r="A30" s="42" t="s">
        <v>92</v>
      </c>
      <c r="B30" s="36" t="s">
        <v>236</v>
      </c>
      <c r="C30" s="36"/>
      <c r="D30" s="36"/>
      <c r="E30" s="36"/>
      <c r="F30" s="36"/>
      <c r="G30" s="36"/>
      <c r="H30" s="43"/>
      <c r="I30" s="56">
        <v>238.5</v>
      </c>
    </row>
    <row r="31" customFormat="1" ht="15.75" customHeight="1" spans="1:9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238.5</v>
      </c>
    </row>
    <row r="32" customFormat="1" ht="15.75" customHeigh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customFormat="1" ht="15.75" customHeight="1" spans="1:9">
      <c r="A33" s="30" t="s">
        <v>96</v>
      </c>
      <c r="B33" s="30"/>
      <c r="C33" s="30"/>
      <c r="D33" s="30"/>
      <c r="E33" s="30"/>
      <c r="F33" s="30"/>
      <c r="G33" s="30"/>
      <c r="H33" s="30"/>
      <c r="I33" s="30"/>
    </row>
    <row r="34" customFormat="1" ht="15.75" customHeight="1" spans="1:9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</row>
    <row r="35" customFormat="1" ht="15.75" customHeight="1" spans="1:9">
      <c r="A35" s="28" t="s">
        <v>38</v>
      </c>
      <c r="B35" s="31" t="s">
        <v>99</v>
      </c>
      <c r="C35" s="31"/>
      <c r="D35" s="31"/>
      <c r="E35" s="31"/>
      <c r="F35" s="31"/>
      <c r="G35" s="31"/>
      <c r="H35" s="41" t="s">
        <v>130</v>
      </c>
      <c r="I35" s="55" t="s">
        <v>130</v>
      </c>
    </row>
    <row r="36" customFormat="1" ht="15.75" customHeight="1" spans="1:9">
      <c r="A36" s="28" t="s">
        <v>41</v>
      </c>
      <c r="B36" s="31" t="s">
        <v>100</v>
      </c>
      <c r="C36" s="31"/>
      <c r="D36" s="31"/>
      <c r="E36" s="31"/>
      <c r="F36" s="31"/>
      <c r="G36" s="31"/>
      <c r="H36" s="43" t="s">
        <v>130</v>
      </c>
      <c r="I36" s="55" t="s">
        <v>130</v>
      </c>
    </row>
    <row r="37" customFormat="1" ht="15.75" customHeight="1" spans="1:9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</v>
      </c>
      <c r="I37" s="57">
        <f>SUM(I35:I36)</f>
        <v>0</v>
      </c>
    </row>
    <row r="38" customFormat="1" ht="15.75" customHeight="1" spans="1:9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238.5</v>
      </c>
    </row>
    <row r="39" customFormat="1" ht="15.75" customHeight="1" spans="1:9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0</v>
      </c>
    </row>
    <row r="40" customFormat="1" ht="15.75" customHeight="1" spans="1:9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238.5</v>
      </c>
    </row>
    <row r="41" customFormat="1" ht="15.75" customHeight="1" spans="1:9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</row>
    <row r="42" customFormat="1" ht="15.75" customHeight="1" spans="1:9">
      <c r="A42" s="42" t="s">
        <v>38</v>
      </c>
      <c r="B42" s="36" t="s">
        <v>110</v>
      </c>
      <c r="C42" s="36"/>
      <c r="D42" s="36"/>
      <c r="E42" s="36"/>
      <c r="F42" s="36"/>
      <c r="G42" s="36"/>
      <c r="H42" s="43" t="s">
        <v>130</v>
      </c>
      <c r="I42" s="60" t="s">
        <v>130</v>
      </c>
    </row>
    <row r="43" customFormat="1" ht="15.75" customHeight="1" spans="1:9">
      <c r="A43" s="42" t="s">
        <v>41</v>
      </c>
      <c r="B43" s="36" t="s">
        <v>113</v>
      </c>
      <c r="C43" s="36"/>
      <c r="D43" s="36"/>
      <c r="E43" s="36"/>
      <c r="F43" s="36"/>
      <c r="G43" s="36"/>
      <c r="H43" s="43" t="s">
        <v>130</v>
      </c>
      <c r="I43" s="60" t="s">
        <v>130</v>
      </c>
    </row>
    <row r="44" customFormat="1" ht="15.75" customHeight="1" spans="1:9">
      <c r="A44" s="42" t="s">
        <v>45</v>
      </c>
      <c r="B44" s="36" t="s">
        <v>114</v>
      </c>
      <c r="C44" s="36"/>
      <c r="D44" s="36"/>
      <c r="E44" s="36"/>
      <c r="F44" s="36"/>
      <c r="G44" s="36"/>
      <c r="H44" s="43" t="s">
        <v>130</v>
      </c>
      <c r="I44" s="60" t="s">
        <v>130</v>
      </c>
    </row>
    <row r="45" customFormat="1" ht="15.75" customHeight="1" spans="1:9">
      <c r="A45" s="42" t="s">
        <v>49</v>
      </c>
      <c r="B45" s="36" t="s">
        <v>115</v>
      </c>
      <c r="C45" s="36"/>
      <c r="D45" s="36"/>
      <c r="E45" s="36"/>
      <c r="F45" s="36"/>
      <c r="G45" s="36"/>
      <c r="H45" s="43" t="s">
        <v>130</v>
      </c>
      <c r="I45" s="60" t="s">
        <v>130</v>
      </c>
    </row>
    <row r="46" customFormat="1" ht="15.75" customHeight="1" spans="1:9">
      <c r="A46" s="42" t="s">
        <v>90</v>
      </c>
      <c r="B46" s="36" t="s">
        <v>116</v>
      </c>
      <c r="C46" s="36"/>
      <c r="D46" s="36"/>
      <c r="E46" s="36"/>
      <c r="F46" s="36"/>
      <c r="G46" s="36"/>
      <c r="H46" s="43" t="s">
        <v>130</v>
      </c>
      <c r="I46" s="60" t="s">
        <v>130</v>
      </c>
    </row>
    <row r="47" customFormat="1" ht="15.75" customHeight="1" spans="1:9">
      <c r="A47" s="42" t="s">
        <v>92</v>
      </c>
      <c r="B47" s="36" t="s">
        <v>117</v>
      </c>
      <c r="C47" s="36"/>
      <c r="D47" s="36"/>
      <c r="E47" s="36"/>
      <c r="F47" s="36"/>
      <c r="G47" s="36"/>
      <c r="H47" s="43" t="s">
        <v>130</v>
      </c>
      <c r="I47" s="60" t="s">
        <v>130</v>
      </c>
    </row>
    <row r="48" customFormat="1" ht="15.75" customHeight="1" spans="1:9">
      <c r="A48" s="42" t="s">
        <v>118</v>
      </c>
      <c r="B48" s="36" t="s">
        <v>119</v>
      </c>
      <c r="C48" s="36"/>
      <c r="D48" s="36"/>
      <c r="E48" s="36"/>
      <c r="F48" s="36"/>
      <c r="G48" s="36"/>
      <c r="H48" s="43" t="s">
        <v>130</v>
      </c>
      <c r="I48" s="60" t="s">
        <v>130</v>
      </c>
    </row>
    <row r="49" customFormat="1" ht="15.75" customHeight="1" spans="1:9">
      <c r="A49" s="42" t="s">
        <v>120</v>
      </c>
      <c r="B49" s="36" t="s">
        <v>121</v>
      </c>
      <c r="C49" s="36"/>
      <c r="D49" s="36"/>
      <c r="E49" s="36"/>
      <c r="F49" s="36"/>
      <c r="G49" s="36"/>
      <c r="H49" s="43" t="s">
        <v>130</v>
      </c>
      <c r="I49" s="60" t="s">
        <v>130</v>
      </c>
    </row>
    <row r="50" customFormat="1" ht="15.75" customHeight="1" spans="1:9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</v>
      </c>
      <c r="I50" s="57">
        <f>SUM(I42:I49)</f>
        <v>0</v>
      </c>
    </row>
    <row r="51" customFormat="1" ht="15.75" customHeight="1" spans="1:9">
      <c r="A51" s="49"/>
      <c r="B51" s="49"/>
      <c r="C51" s="49"/>
      <c r="D51" s="49"/>
      <c r="E51" s="49"/>
      <c r="F51" s="49"/>
      <c r="G51" s="49"/>
      <c r="H51" s="49"/>
      <c r="I51" s="49"/>
    </row>
    <row r="52" customFormat="1" ht="15.75" customHeight="1" spans="1:9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</row>
    <row r="53" customFormat="1" ht="15.75" customHeight="1" spans="1:9">
      <c r="A53" s="28" t="s">
        <v>38</v>
      </c>
      <c r="B53" s="39" t="s">
        <v>128</v>
      </c>
      <c r="C53" s="39"/>
      <c r="D53" s="39"/>
      <c r="E53" s="39"/>
      <c r="F53" s="39"/>
      <c r="G53" s="39"/>
      <c r="H53" s="50" t="s">
        <v>130</v>
      </c>
      <c r="I53" s="55" t="s">
        <v>130</v>
      </c>
    </row>
    <row r="54" customFormat="1" ht="15.75" customHeight="1" spans="1:9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 t="s">
        <v>130</v>
      </c>
    </row>
    <row r="55" customFormat="1" ht="15.75" customHeight="1" spans="1:9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 t="s">
        <v>130</v>
      </c>
    </row>
    <row r="56" customFormat="1" ht="15.75" customHeight="1" spans="1:9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 t="s">
        <v>130</v>
      </c>
    </row>
    <row r="57" customFormat="1" ht="15.75" customHeight="1" spans="1:9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0</v>
      </c>
    </row>
    <row r="58" customFormat="1" ht="15.75" customHeight="1" spans="1:9">
      <c r="A58" s="49"/>
      <c r="B58" s="49"/>
      <c r="C58" s="49"/>
      <c r="D58" s="49"/>
      <c r="E58" s="49"/>
      <c r="F58" s="49"/>
      <c r="G58" s="49"/>
      <c r="H58" s="49"/>
      <c r="I58" s="49"/>
    </row>
    <row r="59" customFormat="1" ht="15.75" customHeight="1" spans="1:9">
      <c r="A59" s="30" t="s">
        <v>138</v>
      </c>
      <c r="B59" s="30"/>
      <c r="C59" s="30"/>
      <c r="D59" s="30"/>
      <c r="E59" s="30"/>
      <c r="F59" s="30"/>
      <c r="G59" s="30"/>
      <c r="H59" s="30"/>
      <c r="I59" s="30"/>
    </row>
    <row r="60" customFormat="1" ht="15.75" customHeight="1" spans="1:9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</row>
    <row r="61" customFormat="1" ht="15.75" customHeight="1" spans="1:9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55" t="s">
        <v>130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55" t="s">
        <v>130</v>
      </c>
      <c r="N62" s="62"/>
    </row>
    <row r="63" customFormat="1" ht="15.75" customHeight="1" spans="1:9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55" t="s">
        <v>130</v>
      </c>
    </row>
    <row r="64" customFormat="1" ht="15.75" customHeight="1" spans="1:9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0</v>
      </c>
    </row>
    <row r="65" customFormat="1" ht="15.75" customHeight="1" spans="1:9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238.5</v>
      </c>
    </row>
    <row r="66" customFormat="1" ht="15.75" customHeight="1" spans="1:9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0</v>
      </c>
    </row>
    <row r="67" customFormat="1" ht="15.75" customHeight="1" spans="1:9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238.5</v>
      </c>
    </row>
    <row r="68" customFormat="1" ht="15.75" customHeight="1" spans="1:9">
      <c r="A68" s="30" t="s">
        <v>153</v>
      </c>
      <c r="B68" s="30"/>
      <c r="C68" s="30"/>
      <c r="D68" s="30"/>
      <c r="E68" s="30"/>
      <c r="F68" s="30"/>
      <c r="G68" s="30"/>
      <c r="H68" s="30"/>
      <c r="I68" s="30"/>
    </row>
    <row r="69" customFormat="1" ht="15.75" customHeight="1" spans="1:9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</row>
    <row r="70" customFormat="1" ht="15.75" customHeight="1" spans="1:9">
      <c r="A70" s="42" t="s">
        <v>38</v>
      </c>
      <c r="B70" s="36" t="s">
        <v>155</v>
      </c>
      <c r="C70" s="36"/>
      <c r="D70" s="36"/>
      <c r="E70" s="36"/>
      <c r="F70" s="36"/>
      <c r="G70" s="36"/>
      <c r="H70" s="43" t="s">
        <v>130</v>
      </c>
      <c r="I70" s="55" t="s">
        <v>130</v>
      </c>
    </row>
    <row r="71" customFormat="1" ht="15.75" customHeight="1" spans="1:12">
      <c r="A71" s="42" t="s">
        <v>41</v>
      </c>
      <c r="B71" s="36" t="s">
        <v>156</v>
      </c>
      <c r="C71" s="36"/>
      <c r="D71" s="36"/>
      <c r="E71" s="36"/>
      <c r="F71" s="36"/>
      <c r="G71" s="36"/>
      <c r="H71" s="43" t="s">
        <v>130</v>
      </c>
      <c r="I71" s="55" t="s">
        <v>130</v>
      </c>
      <c r="L71" s="83"/>
    </row>
    <row r="72" customFormat="1" ht="15.75" customHeight="1" spans="1:9">
      <c r="A72" s="42" t="s">
        <v>45</v>
      </c>
      <c r="B72" s="36" t="s">
        <v>157</v>
      </c>
      <c r="C72" s="36"/>
      <c r="D72" s="36"/>
      <c r="E72" s="36"/>
      <c r="F72" s="36"/>
      <c r="G72" s="36"/>
      <c r="H72" s="43" t="s">
        <v>130</v>
      </c>
      <c r="I72" s="55" t="s">
        <v>130</v>
      </c>
    </row>
    <row r="73" customFormat="1" ht="15.75" customHeight="1" spans="1:12">
      <c r="A73" s="64" t="s">
        <v>49</v>
      </c>
      <c r="B73" s="65" t="s">
        <v>158</v>
      </c>
      <c r="C73" s="65"/>
      <c r="D73" s="65"/>
      <c r="E73" s="65"/>
      <c r="F73" s="65"/>
      <c r="G73" s="65"/>
      <c r="H73" s="43" t="s">
        <v>130</v>
      </c>
      <c r="I73" s="55" t="s">
        <v>130</v>
      </c>
      <c r="L73" s="84"/>
    </row>
    <row r="74" customFormat="1" ht="15.75" customHeight="1" spans="1:9">
      <c r="A74" s="42" t="s">
        <v>90</v>
      </c>
      <c r="B74" s="36" t="s">
        <v>159</v>
      </c>
      <c r="C74" s="36"/>
      <c r="D74" s="36"/>
      <c r="E74" s="36"/>
      <c r="F74" s="36"/>
      <c r="G74" s="36"/>
      <c r="H74" s="43" t="s">
        <v>130</v>
      </c>
      <c r="I74" s="55" t="s">
        <v>130</v>
      </c>
    </row>
    <row r="75" customFormat="1" ht="15.75" customHeight="1" spans="1:9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</v>
      </c>
      <c r="I75" s="57">
        <f>SUM(I70:I74)</f>
        <v>0</v>
      </c>
    </row>
    <row r="76" customFormat="1" ht="15.75" customHeight="1" spans="1:9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238.5</v>
      </c>
    </row>
    <row r="77" customFormat="1" ht="15.75" customHeight="1" spans="1:9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0</v>
      </c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0</v>
      </c>
      <c r="N78" s="85"/>
    </row>
    <row r="79" customFormat="1" ht="15.75" customHeight="1" spans="1:9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238.5</v>
      </c>
    </row>
    <row r="80" customFormat="1" ht="15.75" customHeight="1" spans="1:9">
      <c r="A80" s="30" t="s">
        <v>163</v>
      </c>
      <c r="B80" s="30"/>
      <c r="C80" s="30"/>
      <c r="D80" s="30"/>
      <c r="E80" s="30"/>
      <c r="F80" s="30"/>
      <c r="G80" s="30"/>
      <c r="H80" s="30"/>
      <c r="I80" s="30"/>
    </row>
    <row r="81" customFormat="1" ht="15.75" customHeight="1" spans="1:9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</row>
    <row r="82" customFormat="1" ht="15.75" customHeight="1" spans="1:9">
      <c r="A82" s="42" t="s">
        <v>38</v>
      </c>
      <c r="B82" s="36" t="s">
        <v>165</v>
      </c>
      <c r="C82" s="36"/>
      <c r="D82" s="36"/>
      <c r="E82" s="36"/>
      <c r="F82" s="36"/>
      <c r="G82" s="36"/>
      <c r="H82" s="43" t="s">
        <v>130</v>
      </c>
      <c r="I82" s="55" t="s">
        <v>130</v>
      </c>
    </row>
    <row r="83" customFormat="1" ht="15.75" customHeight="1" spans="1:12">
      <c r="A83" s="42" t="s">
        <v>41</v>
      </c>
      <c r="B83" s="36" t="s">
        <v>166</v>
      </c>
      <c r="C83" s="36"/>
      <c r="D83" s="36"/>
      <c r="E83" s="36"/>
      <c r="F83" s="36"/>
      <c r="G83" s="36"/>
      <c r="H83" s="43" t="s">
        <v>130</v>
      </c>
      <c r="I83" s="55" t="s">
        <v>130</v>
      </c>
      <c r="L83" s="85"/>
    </row>
    <row r="84" customFormat="1" ht="15.75" customHeight="1" spans="1:11">
      <c r="A84" s="42" t="s">
        <v>45</v>
      </c>
      <c r="B84" s="36" t="s">
        <v>167</v>
      </c>
      <c r="C84" s="36"/>
      <c r="D84" s="36"/>
      <c r="E84" s="36"/>
      <c r="F84" s="36"/>
      <c r="G84" s="36"/>
      <c r="H84" s="43" t="s">
        <v>130</v>
      </c>
      <c r="I84" s="55" t="s">
        <v>130</v>
      </c>
      <c r="K84" s="85"/>
    </row>
    <row r="85" customFormat="1" ht="15.75" customHeight="1" spans="1:9">
      <c r="A85" s="42" t="s">
        <v>49</v>
      </c>
      <c r="B85" s="36" t="s">
        <v>168</v>
      </c>
      <c r="C85" s="36"/>
      <c r="D85" s="36"/>
      <c r="E85" s="36"/>
      <c r="F85" s="36"/>
      <c r="G85" s="36"/>
      <c r="H85" s="43" t="s">
        <v>130</v>
      </c>
      <c r="I85" s="55" t="s">
        <v>130</v>
      </c>
    </row>
    <row r="86" customFormat="1" ht="15.75" customHeight="1" spans="1:9">
      <c r="A86" s="42" t="s">
        <v>90</v>
      </c>
      <c r="B86" s="36" t="s">
        <v>169</v>
      </c>
      <c r="C86" s="36"/>
      <c r="D86" s="36"/>
      <c r="E86" s="36"/>
      <c r="F86" s="36"/>
      <c r="G86" s="36"/>
      <c r="H86" s="43" t="s">
        <v>130</v>
      </c>
      <c r="I86" s="55" t="s">
        <v>130</v>
      </c>
    </row>
    <row r="87" customFormat="1" ht="15.75" customHeight="1" spans="1:9">
      <c r="A87" s="42" t="s">
        <v>92</v>
      </c>
      <c r="B87" s="36" t="s">
        <v>170</v>
      </c>
      <c r="C87" s="36"/>
      <c r="D87" s="36"/>
      <c r="E87" s="36"/>
      <c r="F87" s="36"/>
      <c r="G87" s="36"/>
      <c r="H87" s="43" t="s">
        <v>130</v>
      </c>
      <c r="I87" s="55" t="s">
        <v>130</v>
      </c>
    </row>
    <row r="88" customFormat="1" ht="15.75" customHeight="1" spans="1:9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</v>
      </c>
      <c r="I88" s="57">
        <f>SUM(I82:I87)</f>
        <v>0</v>
      </c>
    </row>
    <row r="89" customFormat="1" ht="15.75" customHeight="1" spans="1:9">
      <c r="A89" s="49"/>
      <c r="B89" s="49"/>
      <c r="C89" s="49"/>
      <c r="D89" s="49"/>
      <c r="E89" s="49"/>
      <c r="F89" s="49"/>
      <c r="G89" s="49"/>
      <c r="H89" s="49"/>
      <c r="I89" s="49"/>
    </row>
    <row r="90" customFormat="1" ht="15.75" customHeight="1" spans="1:9">
      <c r="A90" s="42" t="s">
        <v>172</v>
      </c>
      <c r="B90" s="42"/>
      <c r="C90" s="42"/>
      <c r="D90" s="42"/>
      <c r="E90" s="42"/>
      <c r="F90" s="42"/>
      <c r="G90" s="42"/>
      <c r="H90" s="30" t="s">
        <v>80</v>
      </c>
      <c r="I90" s="30" t="s">
        <v>81</v>
      </c>
    </row>
    <row r="91" customFormat="1" ht="15.75" customHeight="1" spans="1:9">
      <c r="A91" s="42" t="s">
        <v>38</v>
      </c>
      <c r="B91" s="36" t="s">
        <v>173</v>
      </c>
      <c r="C91" s="36"/>
      <c r="D91" s="36"/>
      <c r="E91" s="36"/>
      <c r="F91" s="36"/>
      <c r="G91" s="36"/>
      <c r="H91" s="41">
        <v>0</v>
      </c>
      <c r="I91" s="86">
        <f>I31*H91</f>
        <v>0</v>
      </c>
    </row>
    <row r="92" customFormat="1" ht="15.75" customHeight="1" spans="1:9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</row>
    <row r="93" customFormat="1" ht="15.75" customHeight="1" spans="1:9">
      <c r="A93" s="49"/>
      <c r="B93" s="49"/>
      <c r="C93" s="49"/>
      <c r="D93" s="49"/>
      <c r="E93" s="49"/>
      <c r="F93" s="49"/>
      <c r="G93" s="49"/>
      <c r="H93" s="49"/>
      <c r="I93" s="49"/>
    </row>
    <row r="94" customFormat="1" ht="15.75" customHeight="1" spans="1:9">
      <c r="A94" s="30" t="s">
        <v>175</v>
      </c>
      <c r="B94" s="30"/>
      <c r="C94" s="30"/>
      <c r="D94" s="30"/>
      <c r="E94" s="30"/>
      <c r="F94" s="30"/>
      <c r="G94" s="30"/>
      <c r="H94" s="30"/>
      <c r="I94" s="30"/>
    </row>
    <row r="95" customFormat="1" ht="15.75" customHeight="1" spans="1:9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</row>
    <row r="96" customFormat="1" ht="15.75" customHeight="1" spans="1:9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0</v>
      </c>
    </row>
    <row r="97" customFormat="1" ht="15.75" customHeight="1" spans="1:9">
      <c r="A97" s="28" t="s">
        <v>179</v>
      </c>
      <c r="B97" s="35" t="s">
        <v>180</v>
      </c>
      <c r="C97" s="35"/>
      <c r="D97" s="35"/>
      <c r="E97" s="35"/>
      <c r="F97" s="35"/>
      <c r="G97" s="35"/>
      <c r="H97" s="35"/>
      <c r="I97" s="86">
        <f>I92</f>
        <v>0</v>
      </c>
    </row>
    <row r="98" customFormat="1" ht="15.75" customHeight="1" spans="1:9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0</v>
      </c>
    </row>
    <row r="99" customFormat="1" ht="15.75" customHeight="1" spans="1:9">
      <c r="A99" s="49"/>
      <c r="B99" s="49"/>
      <c r="C99" s="49"/>
      <c r="D99" s="49"/>
      <c r="E99" s="49"/>
      <c r="F99" s="49"/>
      <c r="G99" s="49"/>
      <c r="H99" s="49"/>
      <c r="I99" s="49"/>
    </row>
    <row r="100" customFormat="1" ht="15.75" customHeight="1" spans="1:9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</row>
    <row r="101" customFormat="1" ht="15.75" customHeight="1" spans="1:9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</row>
    <row r="102" customFormat="1" ht="15.75" customHeight="1" spans="1:9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55" t="s">
        <v>130</v>
      </c>
    </row>
    <row r="103" customFormat="1" ht="15.75" customHeight="1" spans="1:9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87" t="s">
        <v>130</v>
      </c>
    </row>
    <row r="104" customFormat="1" ht="15.75" customHeight="1" spans="1:9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87" t="s">
        <v>130</v>
      </c>
    </row>
    <row r="105" customFormat="1" ht="15.75" customHeight="1" spans="1:9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55" t="s">
        <v>130</v>
      </c>
    </row>
    <row r="106" customFormat="1" ht="15.75" customHeight="1" spans="1:9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0</v>
      </c>
    </row>
    <row r="107" customFormat="1" ht="15.75" customHeight="1" spans="1:9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238.5</v>
      </c>
    </row>
    <row r="108" customFormat="1" ht="15.75" customHeight="1" spans="1:9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0</v>
      </c>
    </row>
    <row r="109" customFormat="1" ht="15.75" customHeight="1" spans="1:9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0</v>
      </c>
    </row>
    <row r="110" customFormat="1" ht="15.75" customHeight="1" spans="1:9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0</v>
      </c>
    </row>
    <row r="111" customFormat="1" ht="15.75" customHeight="1" spans="1:9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0</v>
      </c>
    </row>
    <row r="112" customFormat="1" ht="15.75" customHeight="1" spans="1:9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238.5</v>
      </c>
    </row>
    <row r="113" customFormat="1" ht="15.75" customHeight="1" spans="1:9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</row>
    <row r="114" customFormat="1" ht="15.75" customHeight="1" spans="1:9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</row>
    <row r="115" customFormat="1" ht="15.75" customHeight="1" spans="1:9">
      <c r="A115" s="28" t="s">
        <v>38</v>
      </c>
      <c r="B115" s="36" t="s">
        <v>194</v>
      </c>
      <c r="C115" s="36"/>
      <c r="D115" s="36"/>
      <c r="E115" s="36"/>
      <c r="F115" s="36"/>
      <c r="G115" s="36"/>
      <c r="H115" s="70">
        <v>0.01129</v>
      </c>
      <c r="I115" s="86">
        <f>ROUND(H115*I112,2)</f>
        <v>2.69</v>
      </c>
    </row>
    <row r="116" customFormat="1" ht="15.75" customHeight="1" spans="1:9">
      <c r="A116" s="28" t="s">
        <v>41</v>
      </c>
      <c r="B116" s="36" t="s">
        <v>195</v>
      </c>
      <c r="C116" s="36"/>
      <c r="D116" s="36"/>
      <c r="E116" s="36"/>
      <c r="F116" s="36"/>
      <c r="G116" s="36"/>
      <c r="H116" s="70">
        <v>0.01</v>
      </c>
      <c r="I116" s="86">
        <f>ROUND(H116*(I112+I115),2)</f>
        <v>2.41</v>
      </c>
    </row>
    <row r="117" customFormat="1" ht="15.75" customHeight="1" spans="1:9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72"/>
      <c r="I117" s="88"/>
    </row>
    <row r="118" customFormat="1" ht="15.75" customHeight="1" spans="1:9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70">
        <v>0.0065</v>
      </c>
      <c r="I118" s="86">
        <f t="shared" ref="I118:I120" si="0">ROUND($I$128*H118,2)</f>
        <v>1.73</v>
      </c>
    </row>
    <row r="119" customFormat="1" ht="15.75" customHeight="1" spans="1:9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73">
        <v>0.03</v>
      </c>
      <c r="I119" s="86">
        <f t="shared" si="0"/>
        <v>8</v>
      </c>
    </row>
    <row r="120" customFormat="1" ht="15.75" customHeight="1" spans="1:9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0"/>
        <v>13.33</v>
      </c>
    </row>
    <row r="121" customFormat="1" ht="15.75" customHeight="1" spans="1:9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0.10779</v>
      </c>
      <c r="I121" s="57">
        <f>SUM(I115:I120)</f>
        <v>28.16</v>
      </c>
    </row>
    <row r="122" customFormat="1" ht="15.75" customHeight="1" spans="1:9">
      <c r="A122" s="76"/>
      <c r="B122" s="77"/>
      <c r="C122" s="77"/>
      <c r="D122" s="77"/>
      <c r="E122" s="77"/>
      <c r="F122" s="77"/>
      <c r="G122" s="77"/>
      <c r="H122" s="77"/>
      <c r="I122" s="77"/>
    </row>
    <row r="123" customFormat="1" ht="15.75" customHeight="1" spans="1:9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0.0865</v>
      </c>
      <c r="I123" s="89"/>
    </row>
    <row r="124" customFormat="1" ht="15.75" customHeight="1" spans="1:9">
      <c r="A124" s="78"/>
      <c r="B124" s="79">
        <v>100</v>
      </c>
      <c r="C124" s="79"/>
      <c r="D124" s="79"/>
      <c r="E124" s="79"/>
      <c r="F124" s="79"/>
      <c r="G124" s="79"/>
      <c r="H124" s="80"/>
      <c r="I124" s="89"/>
    </row>
    <row r="125" customFormat="1" ht="15.75" customHeight="1" spans="1:9">
      <c r="A125" s="81"/>
      <c r="B125" s="82"/>
      <c r="C125" s="82"/>
      <c r="D125" s="82"/>
      <c r="E125" s="82"/>
      <c r="F125" s="82"/>
      <c r="G125" s="82"/>
      <c r="H125" s="80"/>
      <c r="I125" s="89"/>
    </row>
    <row r="126" customFormat="1" ht="15.75" customHeight="1" spans="1:9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243.6</v>
      </c>
    </row>
    <row r="127" customFormat="1" ht="15.75" customHeight="1" spans="1:9">
      <c r="A127" s="78"/>
      <c r="B127" s="82"/>
      <c r="C127" s="82"/>
      <c r="D127" s="82"/>
      <c r="E127" s="82"/>
      <c r="F127" s="82"/>
      <c r="G127" s="82"/>
      <c r="H127" s="80"/>
      <c r="I127" s="89"/>
    </row>
    <row r="128" customFormat="1" ht="15.75" customHeight="1" spans="1:9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266.67</v>
      </c>
    </row>
    <row r="129" customFormat="1" ht="15.75" customHeight="1" spans="1:9">
      <c r="A129" s="78"/>
      <c r="B129" s="82"/>
      <c r="C129" s="82"/>
      <c r="D129" s="82"/>
      <c r="E129" s="82"/>
      <c r="F129" s="82"/>
      <c r="G129" s="82"/>
      <c r="H129" s="80"/>
      <c r="I129" s="89"/>
    </row>
    <row r="130" customFormat="1" ht="15.75" customHeight="1" spans="1:9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23.07</v>
      </c>
    </row>
    <row r="131" customFormat="1" ht="15.75" customHeight="1" spans="1:9">
      <c r="A131" s="76"/>
      <c r="B131" s="90"/>
      <c r="C131" s="90"/>
      <c r="D131" s="90"/>
      <c r="E131" s="90"/>
      <c r="F131" s="90"/>
      <c r="G131" s="90"/>
      <c r="H131" s="90"/>
      <c r="I131" s="91"/>
    </row>
    <row r="132" customFormat="1" ht="15.75" customHeight="1" spans="1:9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</row>
    <row r="133" customFormat="1" ht="15.75" customHeight="1" spans="1:9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</row>
    <row r="134" customFormat="1" ht="15.75" customHeight="1" spans="1:9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238.5</v>
      </c>
    </row>
    <row r="135" customFormat="1" ht="15.75" customHeight="1" spans="1:9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0</v>
      </c>
    </row>
    <row r="136" customFormat="1" ht="15.75" customHeight="1" spans="1:9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0</v>
      </c>
    </row>
    <row r="137" customFormat="1" ht="15.75" customHeight="1" spans="1:9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0</v>
      </c>
    </row>
    <row r="138" customFormat="1" ht="15.75" customHeight="1" spans="1:9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0</v>
      </c>
    </row>
    <row r="139" customFormat="1" ht="15.75" customHeight="1" spans="1:9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238.5</v>
      </c>
    </row>
    <row r="140" customFormat="1" ht="15.75" customHeight="1" spans="1:9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28.16</v>
      </c>
    </row>
    <row r="141" customFormat="1" ht="15.75" customHeight="1" spans="1:9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266.66</v>
      </c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5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A50:G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A38:F40"/>
    <mergeCell ref="A65:F67"/>
    <mergeCell ref="A76:F79"/>
    <mergeCell ref="A107:F112"/>
  </mergeCells>
  <pageMargins left="0.75" right="0.75" top="1" bottom="1" header="0.5" footer="0.5"/>
  <pageSetup paperSize="9" scale="6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6"/>
  <sheetViews>
    <sheetView view="pageBreakPreview" zoomScale="80" zoomScaleNormal="75" workbookViewId="0">
      <selection activeCell="F15" sqref="F15"/>
    </sheetView>
  </sheetViews>
  <sheetFormatPr defaultColWidth="9" defaultRowHeight="15"/>
  <cols>
    <col min="1" max="1" width="7.71428571428571" customWidth="1"/>
    <col min="2" max="2" width="42.1428571428571" customWidth="1"/>
    <col min="3" max="3" width="11.8571428571429" customWidth="1"/>
    <col min="4" max="4" width="14.4285714285714" customWidth="1"/>
    <col min="5" max="5" width="13.2857142857143" customWidth="1"/>
    <col min="6" max="6" width="14.0095238095238" customWidth="1"/>
    <col min="7" max="26" width="10.4285714285714" customWidth="1"/>
    <col min="27" max="1025" width="14.4285714285714" customWidth="1"/>
  </cols>
  <sheetData>
    <row r="1" ht="23" customHeight="1" spans="1:6">
      <c r="A1" s="1" t="s">
        <v>237</v>
      </c>
      <c r="B1" s="1"/>
      <c r="C1" s="1"/>
      <c r="D1" s="1"/>
      <c r="E1" s="1"/>
      <c r="F1" s="1"/>
    </row>
    <row r="2" ht="16" customHeight="1" spans="1:6">
      <c r="A2" s="2"/>
      <c r="B2" s="2"/>
      <c r="C2" s="2"/>
      <c r="D2" s="2"/>
      <c r="E2" s="2"/>
      <c r="F2" s="2"/>
    </row>
    <row r="3" ht="23" customHeight="1" spans="1:26">
      <c r="A3" s="3" t="s">
        <v>238</v>
      </c>
      <c r="B3" s="3"/>
      <c r="C3" s="3"/>
      <c r="D3" s="3"/>
      <c r="E3" s="3"/>
      <c r="F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3" customHeight="1" spans="1:26">
      <c r="A4" s="3" t="s">
        <v>239</v>
      </c>
      <c r="B4" s="3"/>
      <c r="C4" s="3"/>
      <c r="D4" s="3"/>
      <c r="E4" s="3"/>
      <c r="F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3" customHeight="1" spans="1:26">
      <c r="A5" s="5" t="s">
        <v>240</v>
      </c>
      <c r="B5" s="5"/>
      <c r="C5" s="5"/>
      <c r="D5" s="5"/>
      <c r="E5" s="5"/>
      <c r="F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3" customHeight="1" spans="1:26">
      <c r="A6" s="6" t="s">
        <v>4</v>
      </c>
      <c r="B6" s="6" t="s">
        <v>241</v>
      </c>
      <c r="C6" s="6" t="s">
        <v>242</v>
      </c>
      <c r="D6" s="6" t="s">
        <v>243</v>
      </c>
      <c r="E6" s="6" t="s">
        <v>244</v>
      </c>
      <c r="F6" s="6" t="s">
        <v>107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" customHeight="1" spans="1:26">
      <c r="A7" s="7">
        <v>1</v>
      </c>
      <c r="B7" s="8" t="s">
        <v>245</v>
      </c>
      <c r="C7" s="9">
        <v>3</v>
      </c>
      <c r="D7" s="10" t="s">
        <v>246</v>
      </c>
      <c r="E7" s="11">
        <v>45</v>
      </c>
      <c r="F7" s="12">
        <f t="shared" ref="F7:F14" si="0">E7*C7</f>
        <v>135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2" customHeight="1" spans="1:26">
      <c r="A8" s="7">
        <v>2</v>
      </c>
      <c r="B8" s="8" t="s">
        <v>247</v>
      </c>
      <c r="C8" s="9">
        <v>3</v>
      </c>
      <c r="D8" s="10" t="s">
        <v>246</v>
      </c>
      <c r="E8" s="11">
        <v>30</v>
      </c>
      <c r="F8" s="12">
        <f t="shared" si="0"/>
        <v>90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2" customHeight="1" spans="1:26">
      <c r="A9" s="13">
        <v>3</v>
      </c>
      <c r="B9" s="8" t="s">
        <v>248</v>
      </c>
      <c r="C9" s="9">
        <v>3</v>
      </c>
      <c r="D9" s="10" t="s">
        <v>246</v>
      </c>
      <c r="E9" s="11">
        <v>20</v>
      </c>
      <c r="F9" s="12">
        <f t="shared" si="0"/>
        <v>60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2" customHeight="1" spans="1:26">
      <c r="A10" s="13">
        <v>4</v>
      </c>
      <c r="B10" s="8" t="s">
        <v>249</v>
      </c>
      <c r="C10" s="9">
        <v>3</v>
      </c>
      <c r="D10" s="10" t="s">
        <v>246</v>
      </c>
      <c r="E10" s="11">
        <v>10</v>
      </c>
      <c r="F10" s="12">
        <f t="shared" si="0"/>
        <v>30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2" customHeight="1" spans="1:26">
      <c r="A11" s="13">
        <v>5</v>
      </c>
      <c r="B11" s="8" t="s">
        <v>250</v>
      </c>
      <c r="C11" s="9">
        <v>3</v>
      </c>
      <c r="D11" s="10" t="s">
        <v>251</v>
      </c>
      <c r="E11" s="11">
        <v>6</v>
      </c>
      <c r="F11" s="12">
        <f t="shared" si="0"/>
        <v>18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2" customHeight="1" spans="1:26">
      <c r="A12" s="13">
        <v>6</v>
      </c>
      <c r="B12" s="8" t="s">
        <v>252</v>
      </c>
      <c r="C12" s="9">
        <v>3</v>
      </c>
      <c r="D12" s="10" t="s">
        <v>251</v>
      </c>
      <c r="E12" s="11">
        <v>45</v>
      </c>
      <c r="F12" s="12">
        <f t="shared" si="0"/>
        <v>135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3" customHeight="1" spans="1:26">
      <c r="A13" s="14">
        <v>7</v>
      </c>
      <c r="B13" s="15" t="s">
        <v>253</v>
      </c>
      <c r="C13" s="16">
        <v>1</v>
      </c>
      <c r="D13" s="17" t="s">
        <v>246</v>
      </c>
      <c r="E13" s="11">
        <v>5</v>
      </c>
      <c r="F13" s="12">
        <f t="shared" si="0"/>
        <v>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3" customHeight="1" spans="1:26">
      <c r="A14" s="18" t="s">
        <v>254</v>
      </c>
      <c r="B14" s="18"/>
      <c r="C14" s="18"/>
      <c r="D14" s="18"/>
      <c r="E14" s="18"/>
      <c r="F14" s="19">
        <f>SUM(F7:F13)</f>
        <v>473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" customHeight="1" spans="1:26">
      <c r="A15" s="20" t="s">
        <v>255</v>
      </c>
      <c r="B15" s="20"/>
      <c r="C15" s="20"/>
      <c r="D15" s="20"/>
      <c r="E15" s="20"/>
      <c r="F15" s="21">
        <f>F14/12</f>
        <v>39.4166666666667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5:26">
      <c r="E16" s="22"/>
      <c r="F16" s="2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5:26">
      <c r="E17" s="22"/>
      <c r="F17" s="2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5:26">
      <c r="E18" s="22"/>
      <c r="F18" s="2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5:26">
      <c r="E19" s="22"/>
      <c r="F19" s="2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5:26">
      <c r="E20" s="22"/>
      <c r="F20" s="2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5:26">
      <c r="E21" s="22"/>
      <c r="F21" s="2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5:26">
      <c r="E22" s="22"/>
      <c r="F22" s="2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5:26">
      <c r="E23" s="22"/>
      <c r="F23" s="2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5:26">
      <c r="E24" s="22"/>
      <c r="F24" s="2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5:26">
      <c r="E25" s="22"/>
      <c r="F25" s="2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5:26">
      <c r="E26" s="22"/>
      <c r="F26" s="2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5:26">
      <c r="E27" s="22"/>
      <c r="F27" s="2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4"/>
      <c r="C28" s="4"/>
      <c r="D28" s="4"/>
      <c r="E28" s="23"/>
      <c r="F28" s="2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4"/>
      <c r="C29" s="4"/>
      <c r="D29" s="4"/>
      <c r="E29" s="23"/>
      <c r="F29" s="2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4"/>
      <c r="C30" s="4"/>
      <c r="D30" s="4"/>
      <c r="E30" s="23"/>
      <c r="F30" s="2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4"/>
      <c r="C31" s="4"/>
      <c r="D31" s="4"/>
      <c r="E31" s="23"/>
      <c r="F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23"/>
      <c r="F32" s="2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23"/>
      <c r="F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23"/>
      <c r="F34" s="2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23"/>
      <c r="F35" s="2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23"/>
      <c r="F36" s="2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23"/>
      <c r="F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23"/>
      <c r="F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23"/>
      <c r="F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23"/>
      <c r="F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23"/>
      <c r="F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23"/>
      <c r="F42" s="2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23"/>
      <c r="F43" s="2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23"/>
      <c r="F44" s="2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23"/>
      <c r="F45" s="2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23"/>
      <c r="F46" s="2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23"/>
      <c r="F47" s="2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23"/>
      <c r="F48" s="2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23"/>
      <c r="F49" s="2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23"/>
      <c r="F50" s="2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23"/>
      <c r="F51" s="2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23"/>
      <c r="F52" s="2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23"/>
      <c r="F53" s="2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23"/>
      <c r="F54" s="2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23"/>
      <c r="F55" s="2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23"/>
      <c r="F56" s="2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23"/>
      <c r="F57" s="2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23"/>
      <c r="F58" s="2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23"/>
      <c r="F59" s="2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23"/>
      <c r="F60" s="2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23"/>
      <c r="F61" s="2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23"/>
      <c r="F62" s="2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23"/>
      <c r="F63" s="2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23"/>
      <c r="F64" s="2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23"/>
      <c r="F65" s="2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23"/>
      <c r="F66" s="2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23"/>
      <c r="F67" s="2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23"/>
      <c r="F68" s="2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23"/>
      <c r="F69" s="2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23"/>
      <c r="F70" s="2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23"/>
      <c r="F71" s="2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23"/>
      <c r="F72" s="2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23"/>
      <c r="F73" s="2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23"/>
      <c r="F74" s="2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23"/>
      <c r="F75" s="2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23"/>
      <c r="F76" s="2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23"/>
      <c r="F77" s="2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23"/>
      <c r="F78" s="2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23"/>
      <c r="F79" s="2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23"/>
      <c r="F80" s="2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23"/>
      <c r="F81" s="2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23"/>
      <c r="F82" s="2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23"/>
      <c r="F83" s="2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23"/>
      <c r="F84" s="2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23"/>
      <c r="F85" s="2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23"/>
      <c r="F86" s="2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23"/>
      <c r="F87" s="2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23"/>
      <c r="F88" s="2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23"/>
      <c r="F89" s="2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23"/>
      <c r="F90" s="2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23"/>
      <c r="F91" s="2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23"/>
      <c r="F92" s="2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23"/>
      <c r="F93" s="2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23"/>
      <c r="F94" s="2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23"/>
      <c r="F95" s="2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23"/>
      <c r="F96" s="2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23"/>
      <c r="F97" s="2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23"/>
      <c r="F98" s="2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23"/>
      <c r="F99" s="2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23"/>
      <c r="F100" s="2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23"/>
      <c r="F101" s="2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23"/>
      <c r="F102" s="2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23"/>
      <c r="F103" s="2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23"/>
      <c r="F104" s="2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23"/>
      <c r="F105" s="2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23"/>
      <c r="F106" s="2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23"/>
      <c r="F107" s="2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23"/>
      <c r="F108" s="2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23"/>
      <c r="F109" s="2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23"/>
      <c r="F110" s="2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23"/>
      <c r="F111" s="2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23"/>
      <c r="F112" s="2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23"/>
      <c r="F113" s="2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23"/>
      <c r="F114" s="2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23"/>
      <c r="F115" s="2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23"/>
      <c r="F116" s="2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23"/>
      <c r="F117" s="2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23"/>
      <c r="F118" s="2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23"/>
      <c r="F119" s="2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23"/>
      <c r="F120" s="2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23"/>
      <c r="F121" s="2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23"/>
      <c r="F122" s="2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23"/>
      <c r="F123" s="2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23"/>
      <c r="F124" s="2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23"/>
      <c r="F125" s="2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23"/>
      <c r="F126" s="2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23"/>
      <c r="F127" s="2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23"/>
      <c r="F128" s="2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23"/>
      <c r="F129" s="2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23"/>
      <c r="F130" s="2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23"/>
      <c r="F131" s="2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23"/>
      <c r="F132" s="2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23"/>
      <c r="F133" s="2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23"/>
      <c r="F134" s="2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23"/>
      <c r="F135" s="2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23"/>
      <c r="F136" s="2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23"/>
      <c r="F137" s="2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23"/>
      <c r="F138" s="2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23"/>
      <c r="F139" s="2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23"/>
      <c r="F140" s="2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23"/>
      <c r="F141" s="2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23"/>
      <c r="F142" s="2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23"/>
      <c r="F143" s="2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23"/>
      <c r="F144" s="2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23"/>
      <c r="F145" s="2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23"/>
      <c r="F146" s="2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23"/>
      <c r="F147" s="2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23"/>
      <c r="F148" s="2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23"/>
      <c r="F149" s="2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23"/>
      <c r="F150" s="2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23"/>
      <c r="F151" s="2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23"/>
      <c r="F152" s="2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23"/>
      <c r="F153" s="2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23"/>
      <c r="F154" s="2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23"/>
      <c r="F155" s="2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23"/>
      <c r="F156" s="2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23"/>
      <c r="F157" s="2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23"/>
      <c r="F158" s="2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23"/>
      <c r="F159" s="2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23"/>
      <c r="F160" s="2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23"/>
      <c r="F161" s="2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23"/>
      <c r="F162" s="2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23"/>
      <c r="F163" s="2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23"/>
      <c r="F164" s="2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23"/>
      <c r="F165" s="2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23"/>
      <c r="F166" s="2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</sheetData>
  <mergeCells count="6">
    <mergeCell ref="A1:F1"/>
    <mergeCell ref="A3:F3"/>
    <mergeCell ref="A4:F4"/>
    <mergeCell ref="A5:F5"/>
    <mergeCell ref="A14:E14"/>
    <mergeCell ref="A15:E15"/>
  </mergeCells>
  <pageMargins left="0.786805555555556" right="0.786805555555556" top="1.05069444444444" bottom="1.05069444444444" header="0.511805555555555" footer="0.511805555555555"/>
  <pageSetup paperSize="9" scale="82" firstPageNumber="0" orientation="portrait" useFirstPageNumber="1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70" zoomScaleNormal="90" workbookViewId="0">
      <selection activeCell="J1" sqref="J1:L141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32.647619047619" customWidth="1"/>
    <col min="11" max="11" width="45.2952380952381" customWidth="1"/>
    <col min="12" max="12" width="32.0380952380952" customWidth="1"/>
    <col min="13" max="13" width="7.15238095238095" customWidth="1"/>
    <col min="14" max="14" width="10.5809523809524" customWidth="1"/>
    <col min="15" max="1025" width="14.4285714285714" customWidth="1"/>
  </cols>
  <sheetData>
    <row r="1" customHeight="1" spans="1:12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ht="15.75" spans="1:12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3269.8762</v>
      </c>
    </row>
    <row r="1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ht="26.85" customHeight="1" spans="1:12">
      <c r="A15" s="54" t="s">
        <v>58</v>
      </c>
      <c r="B15" s="54"/>
      <c r="C15" s="94" t="s">
        <v>14</v>
      </c>
      <c r="D15" s="94"/>
      <c r="E15" s="29">
        <v>23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>
        <f>I53</f>
        <v>63.25</v>
      </c>
    </row>
    <row r="18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543.436666666667</v>
      </c>
    </row>
    <row r="19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5522.86666666667</v>
      </c>
    </row>
    <row r="20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4979.43</v>
      </c>
    </row>
    <row r="2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547.7373</v>
      </c>
    </row>
    <row r="22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5522.86666666667</v>
      </c>
    </row>
    <row r="26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66.2744</v>
      </c>
    </row>
    <row r="27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5522.86666666667</v>
      </c>
    </row>
    <row r="29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55.2286666666667</v>
      </c>
    </row>
    <row r="30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5522.86666666667</v>
      </c>
    </row>
    <row r="32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419.737866666667</v>
      </c>
    </row>
    <row r="33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5522.86666666667</v>
      </c>
    </row>
    <row r="35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91.1273</v>
      </c>
    </row>
    <row r="36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5522.86666666667</v>
      </c>
    </row>
    <row r="38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276.143333333333</v>
      </c>
    </row>
    <row r="39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1456.24886666667</v>
      </c>
    </row>
    <row r="40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4726.12506666667</v>
      </c>
    </row>
    <row r="44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4726.12506666667</v>
      </c>
    </row>
    <row r="53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>
        <v>4</v>
      </c>
      <c r="I53" s="55">
        <f>ROUND((H53*2*22)-0.06*I25,2)</f>
        <v>63.25</v>
      </c>
      <c r="J53" s="125">
        <f t="shared" ref="J53:J56" si="2">I53</f>
        <v>63.25</v>
      </c>
      <c r="K53" s="150"/>
      <c r="L53" s="151"/>
    </row>
    <row r="54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5522.86666666667</v>
      </c>
    </row>
    <row r="56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4726.12506666667</v>
      </c>
    </row>
    <row r="57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558.51</v>
      </c>
      <c r="J57" s="128"/>
      <c r="K57" s="157" t="s">
        <v>136</v>
      </c>
      <c r="L57" s="158">
        <f>L55-L56</f>
        <v>796.741599999999</v>
      </c>
    </row>
    <row r="58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434.096666666667</v>
      </c>
    </row>
    <row r="59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362.644933333333</v>
      </c>
    </row>
    <row r="60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1813.22</v>
      </c>
    </row>
    <row r="6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21758.7</v>
      </c>
    </row>
    <row r="62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558.51</v>
      </c>
      <c r="J63" s="128"/>
      <c r="K63" s="166"/>
      <c r="L63" s="167"/>
    </row>
    <row r="64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1843.16</v>
      </c>
      <c r="J64" s="128"/>
      <c r="K64" s="166"/>
      <c r="L64" s="167"/>
    </row>
    <row r="65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1843.16</v>
      </c>
      <c r="J66" s="128"/>
      <c r="K66" s="166"/>
      <c r="L66" s="167"/>
    </row>
    <row r="67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3722.34</v>
      </c>
      <c r="J67" s="128"/>
      <c r="K67" s="166"/>
      <c r="L67" s="167"/>
    </row>
    <row r="68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>ROUND(H70*$I$67,2)</f>
        <v>15.63</v>
      </c>
      <c r="J70" s="128"/>
      <c r="K70" s="166"/>
      <c r="L70" s="167"/>
    </row>
    <row r="7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>ROUND(H71*$I$67,2)</f>
        <v>1.12</v>
      </c>
      <c r="J71" s="128"/>
      <c r="K71" s="172"/>
      <c r="L71" s="173"/>
    </row>
    <row r="72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>ROUND(H72*$I$67,2)</f>
        <v>68.86</v>
      </c>
      <c r="J72" s="128"/>
      <c r="K72" s="105"/>
      <c r="L72" s="105"/>
    </row>
    <row r="73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>ROUND(H73*$I$67,2)</f>
        <v>27.55</v>
      </c>
      <c r="J73" s="128"/>
      <c r="K73" s="105"/>
      <c r="L73" s="105"/>
    </row>
    <row r="74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>ROUND(H74*$I$67,2)</f>
        <v>148.89</v>
      </c>
      <c r="J74" s="125">
        <f>I74</f>
        <v>148.89</v>
      </c>
      <c r="K74" s="105"/>
      <c r="L74" s="105"/>
    </row>
    <row r="75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262.05</v>
      </c>
      <c r="J75" s="128"/>
      <c r="K75" s="174"/>
      <c r="L75" s="105"/>
    </row>
    <row r="76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1843.16</v>
      </c>
      <c r="J77" s="128"/>
      <c r="K77" s="174"/>
      <c r="L77" s="105"/>
    </row>
    <row r="78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262.05</v>
      </c>
      <c r="J78" s="128"/>
      <c r="K78" s="174"/>
      <c r="L78" s="105"/>
      <c r="N78" s="85"/>
    </row>
    <row r="79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3984.39</v>
      </c>
      <c r="J79" s="128"/>
      <c r="K79" s="174"/>
      <c r="L79" s="105"/>
    </row>
    <row r="80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3">ROUND(H82*$I$79,2)</f>
        <v>37.05</v>
      </c>
      <c r="J82" s="128"/>
      <c r="K82" s="174"/>
      <c r="L82" s="105"/>
    </row>
    <row r="83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3"/>
        <v>22.31</v>
      </c>
      <c r="J83" s="128"/>
      <c r="K83" s="105"/>
      <c r="L83" s="105"/>
    </row>
    <row r="84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3"/>
        <v>1.2</v>
      </c>
      <c r="J84" s="128"/>
      <c r="K84" s="105"/>
      <c r="L84" s="105"/>
    </row>
    <row r="85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3"/>
        <v>13.15</v>
      </c>
      <c r="J85" s="128"/>
      <c r="K85" s="105"/>
      <c r="L85" s="105"/>
    </row>
    <row r="86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3"/>
        <v>2.79</v>
      </c>
      <c r="J86" s="128"/>
      <c r="K86" s="105"/>
      <c r="L86" s="105"/>
    </row>
    <row r="87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3"/>
        <v>0</v>
      </c>
      <c r="J87" s="128"/>
      <c r="K87" s="105"/>
      <c r="L87" s="105"/>
    </row>
    <row r="88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76.5</v>
      </c>
      <c r="J88" s="128"/>
      <c r="K88" s="105"/>
      <c r="L88" s="176"/>
    </row>
    <row r="89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42" t="s">
        <v>80</v>
      </c>
      <c r="I90" s="42" t="s">
        <v>81</v>
      </c>
      <c r="J90" s="128"/>
      <c r="K90" s="105"/>
      <c r="L90" s="105"/>
    </row>
    <row r="9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3">
        <v>0</v>
      </c>
      <c r="I91" s="185">
        <f>I31*H91</f>
        <v>0</v>
      </c>
      <c r="J91" s="128"/>
      <c r="K91" s="105"/>
      <c r="L91" s="105"/>
    </row>
    <row r="92" ht="15.75" customHeight="1" spans="1:12">
      <c r="A92" s="42" t="s">
        <v>174</v>
      </c>
      <c r="B92" s="42"/>
      <c r="C92" s="42"/>
      <c r="D92" s="42"/>
      <c r="E92" s="42"/>
      <c r="F92" s="42"/>
      <c r="G92" s="42"/>
      <c r="H92" s="183">
        <f>H91</f>
        <v>0</v>
      </c>
      <c r="I92" s="186">
        <f>I91</f>
        <v>0</v>
      </c>
      <c r="J92" s="128"/>
      <c r="K92" s="178"/>
      <c r="L92" s="105"/>
    </row>
    <row r="93" ht="15.75" customHeight="1" spans="1:12">
      <c r="A93" s="184"/>
      <c r="B93" s="184"/>
      <c r="C93" s="184"/>
      <c r="D93" s="184"/>
      <c r="E93" s="184"/>
      <c r="F93" s="184"/>
      <c r="G93" s="184"/>
      <c r="H93" s="184"/>
      <c r="I93" s="184"/>
      <c r="J93" s="128"/>
      <c r="K93" s="105"/>
      <c r="L93" s="105"/>
    </row>
    <row r="94" ht="15.75" customHeight="1" spans="1:12">
      <c r="A94" s="42" t="s">
        <v>175</v>
      </c>
      <c r="B94" s="42"/>
      <c r="C94" s="42"/>
      <c r="D94" s="42"/>
      <c r="E94" s="42"/>
      <c r="F94" s="42"/>
      <c r="G94" s="42"/>
      <c r="H94" s="42"/>
      <c r="I94" s="42"/>
      <c r="J94" s="128"/>
      <c r="K94" s="105"/>
      <c r="L94" s="105"/>
    </row>
    <row r="95" ht="15.75" customHeight="1" spans="1:12">
      <c r="A95" s="42" t="s">
        <v>176</v>
      </c>
      <c r="B95" s="42"/>
      <c r="C95" s="42"/>
      <c r="D95" s="42"/>
      <c r="E95" s="42"/>
      <c r="F95" s="42"/>
      <c r="G95" s="42"/>
      <c r="H95" s="42"/>
      <c r="I95" s="42" t="s">
        <v>81</v>
      </c>
      <c r="J95" s="128"/>
      <c r="K95" s="105"/>
      <c r="L95" s="105"/>
    </row>
    <row r="96" ht="15.75" customHeight="1" spans="1:12">
      <c r="A96" s="42" t="s">
        <v>177</v>
      </c>
      <c r="B96" s="35" t="s">
        <v>178</v>
      </c>
      <c r="C96" s="35"/>
      <c r="D96" s="35"/>
      <c r="E96" s="35"/>
      <c r="F96" s="35"/>
      <c r="G96" s="35"/>
      <c r="H96" s="35"/>
      <c r="I96" s="185">
        <f>I88</f>
        <v>76.5</v>
      </c>
      <c r="J96" s="128"/>
      <c r="K96" s="105"/>
      <c r="L96" s="105"/>
    </row>
    <row r="97" ht="15.75" customHeight="1" spans="1:12">
      <c r="A97" s="42" t="s">
        <v>179</v>
      </c>
      <c r="B97" s="35" t="s">
        <v>180</v>
      </c>
      <c r="C97" s="35"/>
      <c r="D97" s="35"/>
      <c r="E97" s="35"/>
      <c r="F97" s="35"/>
      <c r="G97" s="35"/>
      <c r="H97" s="35"/>
      <c r="I97" s="185">
        <f>I92</f>
        <v>0</v>
      </c>
      <c r="J97" s="128"/>
      <c r="K97" s="105"/>
      <c r="L97" s="105"/>
    </row>
    <row r="98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76.5</v>
      </c>
      <c r="J98" s="128"/>
      <c r="K98" s="105"/>
      <c r="L98" s="105"/>
    </row>
    <row r="99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1843.16</v>
      </c>
      <c r="J108" s="128"/>
      <c r="K108" s="105"/>
      <c r="L108" s="105"/>
    </row>
    <row r="109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262.05</v>
      </c>
      <c r="J109" s="128"/>
      <c r="K109" s="105"/>
      <c r="L109" s="105"/>
    </row>
    <row r="110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76.5</v>
      </c>
      <c r="J110" s="128"/>
      <c r="K110" s="133"/>
      <c r="L110" s="133"/>
    </row>
    <row r="11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4100.30666666667</v>
      </c>
      <c r="J112" s="128"/>
      <c r="K112" s="105"/>
      <c r="L112" s="105"/>
    </row>
    <row r="113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205.02</v>
      </c>
      <c r="J115" s="128"/>
      <c r="K115" s="105"/>
      <c r="L115" s="105"/>
    </row>
    <row r="116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430.53</v>
      </c>
      <c r="J116" s="128"/>
      <c r="K116" s="105"/>
      <c r="L116" s="105"/>
    </row>
    <row r="117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>ROUND($I$128*H118,2)</f>
        <v>91.13</v>
      </c>
      <c r="J118" s="128"/>
      <c r="K118" s="105"/>
      <c r="L118" s="105"/>
    </row>
    <row r="119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>ROUND($I$128*H119,2)</f>
        <v>419.74</v>
      </c>
      <c r="J119" s="128"/>
      <c r="K119" s="105"/>
      <c r="L119" s="105"/>
    </row>
    <row r="120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>ROUND($I$128*H120,2)</f>
        <v>276.14</v>
      </c>
      <c r="J120" s="128"/>
      <c r="K120" s="105"/>
      <c r="L120" s="105"/>
    </row>
    <row r="12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1422.56</v>
      </c>
      <c r="J121" s="128"/>
      <c r="K121" s="105"/>
      <c r="L121" s="105"/>
    </row>
    <row r="122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4735.85666666667</v>
      </c>
      <c r="J126" s="128"/>
      <c r="K126" s="105"/>
      <c r="L126" s="105"/>
    </row>
    <row r="127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5522.86</v>
      </c>
      <c r="J128" s="128"/>
      <c r="K128" s="105"/>
      <c r="L128" s="105"/>
    </row>
    <row r="129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787.003333333332</v>
      </c>
      <c r="J130" s="128"/>
      <c r="K130" s="105"/>
      <c r="L130" s="105"/>
    </row>
    <row r="13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1843.16</v>
      </c>
      <c r="J135" s="128"/>
      <c r="K135" s="133"/>
      <c r="L135" s="133"/>
    </row>
    <row r="136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262.05</v>
      </c>
      <c r="J136" s="128"/>
      <c r="K136" s="96"/>
      <c r="L136" s="96"/>
    </row>
    <row r="137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76.5</v>
      </c>
      <c r="J137" s="181"/>
      <c r="K137" s="96"/>
      <c r="L137" s="96"/>
    </row>
    <row r="138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4100.30666666667</v>
      </c>
      <c r="J139" s="128"/>
      <c r="K139" s="95"/>
      <c r="L139" s="95"/>
    </row>
    <row r="140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1422.56</v>
      </c>
      <c r="J140" s="182">
        <f>SUM(J30:J139)</f>
        <v>3269.8762</v>
      </c>
      <c r="K140" s="95"/>
      <c r="L140" s="95"/>
    </row>
    <row r="14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5522.86666666667</v>
      </c>
      <c r="J141" s="95"/>
      <c r="K141" s="95"/>
      <c r="L141" s="95"/>
    </row>
    <row r="142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315277777777778" right="0.315277777777778" top="0.315277777777778" bottom="0.315277777777778" header="0.511805555555555" footer="0.511805555555555"/>
  <pageSetup paperSize="9" scale="39" firstPageNumber="0" fitToHeight="0" orientation="portrait" useFirstPageNumber="1" horizontalDpi="300" verticalDpi="300"/>
  <headerFooter/>
  <rowBreaks count="4" manualBreakCount="4">
    <brk id="141" max="16383" man="1"/>
    <brk id="141" max="16383" man="1"/>
    <brk id="141" max="16383" man="1"/>
    <brk id="1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100" topLeftCell="A57" workbookViewId="0">
      <selection activeCell="J49" sqref="J49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3.7619047619048" customWidth="1"/>
    <col min="10" max="10" width="31.9619047619048" customWidth="1"/>
    <col min="11" max="11" width="34.6380952380952" customWidth="1"/>
    <col min="12" max="12" width="44.4666666666667" customWidth="1"/>
    <col min="13" max="13" width="7.15238095238095" customWidth="1"/>
    <col min="14" max="14" width="10.5809523809524" customWidth="1"/>
    <col min="15" max="1025" width="14.4285714285714" customWidth="1"/>
  </cols>
  <sheetData>
    <row r="1" customHeight="1" spans="1:12">
      <c r="A1" s="24" t="s">
        <v>214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ht="15.75" spans="1:12">
      <c r="A3" s="27" t="s">
        <v>215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3269.8762</v>
      </c>
    </row>
    <row r="1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ht="24.85" customHeight="1" spans="1:12">
      <c r="A15" s="54" t="s">
        <v>58</v>
      </c>
      <c r="B15" s="54"/>
      <c r="C15" s="94" t="s">
        <v>14</v>
      </c>
      <c r="D15" s="94"/>
      <c r="E15" s="194" t="s">
        <v>216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>
        <f>I53</f>
        <v>63.25</v>
      </c>
    </row>
    <row r="18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543.436666666667</v>
      </c>
    </row>
    <row r="19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5522.86666666667</v>
      </c>
    </row>
    <row r="20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4979.43</v>
      </c>
    </row>
    <row r="2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547.7373</v>
      </c>
    </row>
    <row r="22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5522.86666666667</v>
      </c>
    </row>
    <row r="26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66.2744</v>
      </c>
    </row>
    <row r="27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5522.86666666667</v>
      </c>
    </row>
    <row r="29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55.2286666666667</v>
      </c>
    </row>
    <row r="30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5522.86666666667</v>
      </c>
    </row>
    <row r="32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419.737866666667</v>
      </c>
    </row>
    <row r="33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5522.86666666667</v>
      </c>
    </row>
    <row r="35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91.1273</v>
      </c>
    </row>
    <row r="36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5522.86666666667</v>
      </c>
    </row>
    <row r="38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276.143333333333</v>
      </c>
    </row>
    <row r="39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1456.24886666667</v>
      </c>
    </row>
    <row r="40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4726.12506666667</v>
      </c>
    </row>
    <row r="44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4726.12506666667</v>
      </c>
    </row>
    <row r="53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>
        <v>4</v>
      </c>
      <c r="I53" s="55">
        <f>ROUND((H53*2*22)-0.06*I25,2)</f>
        <v>63.25</v>
      </c>
      <c r="J53" s="125">
        <f t="shared" ref="J53:J56" si="2">I53</f>
        <v>63.25</v>
      </c>
      <c r="K53" s="150"/>
      <c r="L53" s="151"/>
    </row>
    <row r="54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5522.86666666667</v>
      </c>
    </row>
    <row r="56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4726.12506666667</v>
      </c>
    </row>
    <row r="57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558.51</v>
      </c>
      <c r="J57" s="128"/>
      <c r="K57" s="157" t="s">
        <v>136</v>
      </c>
      <c r="L57" s="158">
        <f>L55-L56</f>
        <v>796.741599999999</v>
      </c>
    </row>
    <row r="58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434.096666666667</v>
      </c>
    </row>
    <row r="59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362.644933333333</v>
      </c>
    </row>
    <row r="60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1813.22</v>
      </c>
    </row>
    <row r="6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21758.7</v>
      </c>
    </row>
    <row r="62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558.51</v>
      </c>
      <c r="J63" s="128"/>
      <c r="K63" s="166"/>
      <c r="L63" s="167"/>
    </row>
    <row r="64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1843.16</v>
      </c>
      <c r="J64" s="128"/>
      <c r="K64" s="166"/>
      <c r="L64" s="167"/>
    </row>
    <row r="65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1843.16</v>
      </c>
      <c r="J66" s="128"/>
      <c r="K66" s="166"/>
      <c r="L66" s="167"/>
    </row>
    <row r="67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3722.34</v>
      </c>
      <c r="J67" s="128"/>
      <c r="K67" s="166"/>
      <c r="L67" s="167"/>
    </row>
    <row r="68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>ROUND(H70*$I$67,2)</f>
        <v>15.63</v>
      </c>
      <c r="J70" s="128"/>
      <c r="K70" s="166"/>
      <c r="L70" s="167"/>
    </row>
    <row r="7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>ROUND(H71*$I$67,2)</f>
        <v>1.12</v>
      </c>
      <c r="J71" s="128"/>
      <c r="K71" s="172"/>
      <c r="L71" s="173"/>
    </row>
    <row r="72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>ROUND(H72*$I$67,2)</f>
        <v>68.86</v>
      </c>
      <c r="J72" s="128"/>
      <c r="K72" s="105"/>
      <c r="L72" s="105"/>
    </row>
    <row r="73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>ROUND(H73*$I$67,2)</f>
        <v>27.55</v>
      </c>
      <c r="J73" s="128"/>
      <c r="K73" s="105"/>
      <c r="L73" s="105"/>
    </row>
    <row r="74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>ROUND(H74*$I$67,2)</f>
        <v>148.89</v>
      </c>
      <c r="J74" s="125">
        <f>I74</f>
        <v>148.89</v>
      </c>
      <c r="K74" s="105"/>
      <c r="L74" s="105"/>
    </row>
    <row r="75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262.05</v>
      </c>
      <c r="J75" s="128"/>
      <c r="K75" s="174"/>
      <c r="L75" s="105"/>
    </row>
    <row r="76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1843.16</v>
      </c>
      <c r="J77" s="128"/>
      <c r="K77" s="174"/>
      <c r="L77" s="105"/>
    </row>
    <row r="78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262.05</v>
      </c>
      <c r="J78" s="128"/>
      <c r="K78" s="174"/>
      <c r="L78" s="105"/>
      <c r="N78" s="85"/>
    </row>
    <row r="79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3984.39</v>
      </c>
      <c r="J79" s="128"/>
      <c r="K79" s="174"/>
      <c r="L79" s="105"/>
    </row>
    <row r="80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3">ROUND(H82*$I$79,2)</f>
        <v>37.05</v>
      </c>
      <c r="J82" s="128"/>
      <c r="K82" s="174"/>
      <c r="L82" s="105"/>
    </row>
    <row r="83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3"/>
        <v>22.31</v>
      </c>
      <c r="J83" s="128"/>
      <c r="K83" s="105"/>
      <c r="L83" s="105"/>
    </row>
    <row r="84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3"/>
        <v>1.2</v>
      </c>
      <c r="J84" s="128"/>
      <c r="K84" s="105"/>
      <c r="L84" s="105"/>
    </row>
    <row r="85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3"/>
        <v>13.15</v>
      </c>
      <c r="J85" s="128"/>
      <c r="K85" s="105"/>
      <c r="L85" s="105"/>
    </row>
    <row r="86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3"/>
        <v>2.79</v>
      </c>
      <c r="J86" s="128"/>
      <c r="K86" s="105"/>
      <c r="L86" s="105"/>
    </row>
    <row r="87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3"/>
        <v>0</v>
      </c>
      <c r="J87" s="128"/>
      <c r="K87" s="105"/>
      <c r="L87" s="105"/>
    </row>
    <row r="88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76.5</v>
      </c>
      <c r="J88" s="128"/>
      <c r="K88" s="105"/>
      <c r="L88" s="176"/>
    </row>
    <row r="89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42" t="s">
        <v>80</v>
      </c>
      <c r="I90" s="30" t="s">
        <v>81</v>
      </c>
      <c r="J90" s="128"/>
      <c r="K90" s="105"/>
      <c r="L90" s="105"/>
    </row>
    <row r="9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3">
        <v>0</v>
      </c>
      <c r="I91" s="86">
        <f>I31*H91</f>
        <v>0</v>
      </c>
      <c r="J91" s="128"/>
      <c r="K91" s="105"/>
      <c r="L91" s="105"/>
    </row>
    <row r="92" ht="15.75" customHeight="1" spans="1:12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  <c r="J92" s="128"/>
      <c r="K92" s="178"/>
      <c r="L92" s="105"/>
    </row>
    <row r="93" ht="15.75" customHeight="1" spans="1:12">
      <c r="A93" s="49"/>
      <c r="B93" s="49"/>
      <c r="C93" s="49"/>
      <c r="D93" s="49"/>
      <c r="E93" s="49"/>
      <c r="F93" s="49"/>
      <c r="G93" s="49"/>
      <c r="H93" s="49"/>
      <c r="I93" s="49"/>
      <c r="J93" s="128"/>
      <c r="K93" s="105"/>
      <c r="L93" s="105"/>
    </row>
    <row r="94" ht="15.75" customHeight="1" spans="1:12">
      <c r="A94" s="30" t="s">
        <v>175</v>
      </c>
      <c r="B94" s="30"/>
      <c r="C94" s="30"/>
      <c r="D94" s="30"/>
      <c r="E94" s="30"/>
      <c r="F94" s="30"/>
      <c r="G94" s="30"/>
      <c r="H94" s="30"/>
      <c r="I94" s="30"/>
      <c r="J94" s="128"/>
      <c r="K94" s="105"/>
      <c r="L94" s="105"/>
    </row>
    <row r="95" ht="15.75" customHeight="1" spans="1:12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  <c r="J95" s="128"/>
      <c r="K95" s="105"/>
      <c r="L95" s="105"/>
    </row>
    <row r="96" ht="15.75" customHeight="1" spans="1:12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76.5</v>
      </c>
      <c r="J96" s="128"/>
      <c r="K96" s="105"/>
      <c r="L96" s="105"/>
    </row>
    <row r="97" ht="15.75" customHeight="1" spans="1:12">
      <c r="A97" s="28" t="s">
        <v>179</v>
      </c>
      <c r="B97" s="29" t="s">
        <v>180</v>
      </c>
      <c r="C97" s="29"/>
      <c r="D97" s="29"/>
      <c r="E97" s="29"/>
      <c r="F97" s="29"/>
      <c r="G97" s="29"/>
      <c r="H97" s="29"/>
      <c r="I97" s="86">
        <f>I92</f>
        <v>0</v>
      </c>
      <c r="J97" s="128"/>
      <c r="K97" s="105"/>
      <c r="L97" s="105"/>
    </row>
    <row r="98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76.5</v>
      </c>
      <c r="J98" s="128"/>
      <c r="K98" s="105"/>
      <c r="L98" s="105"/>
    </row>
    <row r="99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1843.16</v>
      </c>
      <c r="J108" s="128"/>
      <c r="K108" s="105"/>
      <c r="L108" s="105"/>
    </row>
    <row r="109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262.05</v>
      </c>
      <c r="J109" s="128"/>
      <c r="K109" s="105"/>
      <c r="L109" s="105"/>
    </row>
    <row r="110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76.5</v>
      </c>
      <c r="J110" s="128"/>
      <c r="K110" s="133"/>
      <c r="L110" s="133"/>
    </row>
    <row r="11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4100.30666666667</v>
      </c>
      <c r="J112" s="128"/>
      <c r="K112" s="105"/>
      <c r="L112" s="105"/>
    </row>
    <row r="113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205.02</v>
      </c>
      <c r="J115" s="128"/>
      <c r="K115" s="105"/>
      <c r="L115" s="105"/>
    </row>
    <row r="116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430.53</v>
      </c>
      <c r="J116" s="128"/>
      <c r="K116" s="105"/>
      <c r="L116" s="105"/>
    </row>
    <row r="117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>ROUND($I$128*H118,2)</f>
        <v>91.13</v>
      </c>
      <c r="J118" s="128"/>
      <c r="K118" s="105"/>
      <c r="L118" s="105"/>
    </row>
    <row r="119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>ROUND($I$128*H119,2)</f>
        <v>419.74</v>
      </c>
      <c r="J119" s="128"/>
      <c r="K119" s="105"/>
      <c r="L119" s="105"/>
    </row>
    <row r="120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>ROUND($I$128*H120,2)</f>
        <v>276.14</v>
      </c>
      <c r="J120" s="128"/>
      <c r="K120" s="105"/>
      <c r="L120" s="105"/>
    </row>
    <row r="12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1422.56</v>
      </c>
      <c r="J121" s="128"/>
      <c r="K121" s="105"/>
      <c r="L121" s="105"/>
    </row>
    <row r="122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4735.85666666667</v>
      </c>
      <c r="J126" s="128"/>
      <c r="K126" s="105"/>
      <c r="L126" s="105"/>
    </row>
    <row r="127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5522.86</v>
      </c>
      <c r="J128" s="128"/>
      <c r="K128" s="105"/>
      <c r="L128" s="105"/>
    </row>
    <row r="129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787.003333333332</v>
      </c>
      <c r="J130" s="128"/>
      <c r="K130" s="105"/>
      <c r="L130" s="105"/>
    </row>
    <row r="13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1843.16</v>
      </c>
      <c r="J135" s="128"/>
      <c r="K135" s="133"/>
      <c r="L135" s="133"/>
    </row>
    <row r="136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262.05</v>
      </c>
      <c r="J136" s="128"/>
      <c r="K136" s="96"/>
      <c r="L136" s="96"/>
    </row>
    <row r="137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76.5</v>
      </c>
      <c r="J137" s="181"/>
      <c r="K137" s="96"/>
      <c r="L137" s="96"/>
    </row>
    <row r="138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4100.30666666667</v>
      </c>
      <c r="J139" s="128"/>
      <c r="K139" s="95"/>
      <c r="L139" s="95"/>
    </row>
    <row r="140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1422.56</v>
      </c>
      <c r="J140" s="182">
        <f>SUM(J30:J139)</f>
        <v>3269.8762</v>
      </c>
      <c r="K140" s="95"/>
      <c r="L140" s="95"/>
    </row>
    <row r="14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5522.86666666667</v>
      </c>
      <c r="J141" s="95"/>
      <c r="K141" s="95"/>
      <c r="L141" s="95"/>
    </row>
    <row r="142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875" right="0.7875" top="1.05277777777778" bottom="1.05277777777778" header="0.7875" footer="0.7875"/>
  <pageSetup paperSize="9" scale="34" firstPageNumber="0" fitToHeight="0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rowBreaks count="1" manualBreakCount="1">
    <brk id="7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80" topLeftCell="A93" workbookViewId="0">
      <selection activeCell="H115" sqref="H115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28.5619047619048" customWidth="1"/>
    <col min="11" max="11" width="33.7428571428571" customWidth="1"/>
    <col min="12" max="12" width="43.7428571428571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217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27" t="s">
        <v>218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3295.5006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6.85" customHeight="1" spans="1:12">
      <c r="A15" s="54" t="s">
        <v>58</v>
      </c>
      <c r="B15" s="54"/>
      <c r="C15" s="94" t="s">
        <v>14</v>
      </c>
      <c r="D15" s="94"/>
      <c r="E15" s="29">
        <v>3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39.42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 t="str">
        <f>I53</f>
        <v>-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480.19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4475.51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3995.32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439.4852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4475.51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53.70612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4475.51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44.7551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0.03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</f>
        <v>1879.18</v>
      </c>
      <c r="K31" s="116" t="s">
        <v>69</v>
      </c>
      <c r="L31" s="117">
        <f>L19</f>
        <v>4475.51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134.2653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0.0065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4475.51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211.79862</v>
      </c>
      <c r="K35" s="118" t="s">
        <v>75</v>
      </c>
      <c r="L35" s="119">
        <f>L34*L33</f>
        <v>29.090815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307.64514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4475.51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223.7755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925.078035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>$I$31*H43</f>
        <v>46.9795</v>
      </c>
      <c r="K43" s="139" t="s">
        <v>112</v>
      </c>
      <c r="L43" s="140">
        <f>L10+L39</f>
        <v>4220.578635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188">
        <v>0.015</v>
      </c>
      <c r="I44" s="86">
        <f t="shared" si="0"/>
        <v>33.95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>$I$31*H45</f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ref="J43:J49" si="1">$I$31*H46</f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0.353</v>
      </c>
      <c r="I50" s="57">
        <f>SUM(I42:I49)</f>
        <v>798.89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3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4220.578635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189">
        <v>0</v>
      </c>
      <c r="I53" s="56" t="s">
        <v>130</v>
      </c>
      <c r="J53" s="125" t="str">
        <f t="shared" ref="J53:J56" si="2">I53</f>
        <v>-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4475.51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4220.578635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495.26</v>
      </c>
      <c r="J57" s="128"/>
      <c r="K57" s="157" t="s">
        <v>136</v>
      </c>
      <c r="L57" s="158">
        <f>L55-L56</f>
        <v>254.931365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219</v>
      </c>
      <c r="L58" s="160">
        <f>SUM(I70:I73,I98,I106,I115)</f>
        <v>304.74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-49.8086349999996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220</v>
      </c>
      <c r="L60" s="163">
        <f>ROUND(L59*L51,2)</f>
        <v>-149.43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-1793.11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798.89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495.26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1678.07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1678.07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3557.25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14.94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1.07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65.81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0.0065</v>
      </c>
      <c r="I73" s="86">
        <f t="shared" si="3"/>
        <v>23.12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142.29</v>
      </c>
      <c r="J74" s="125">
        <f>I74</f>
        <v>142.29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0.0695</v>
      </c>
      <c r="I75" s="57">
        <f>SUM(I70:I74)</f>
        <v>247.23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1678.07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247.23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3804.48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35.38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21.31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1.14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12.55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2.66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73.04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42" t="s">
        <v>80</v>
      </c>
      <c r="I90" s="42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3">
        <v>0</v>
      </c>
      <c r="I91" s="185">
        <f>I31*H91</f>
        <v>0</v>
      </c>
      <c r="J91" s="128"/>
      <c r="K91" s="105"/>
      <c r="L91" s="105"/>
    </row>
    <row r="92" customFormat="1" ht="15.75" customHeight="1" spans="1:12">
      <c r="A92" s="42" t="s">
        <v>174</v>
      </c>
      <c r="B92" s="42"/>
      <c r="C92" s="42"/>
      <c r="D92" s="42"/>
      <c r="E92" s="42"/>
      <c r="F92" s="42"/>
      <c r="G92" s="42"/>
      <c r="H92" s="183">
        <f>H91</f>
        <v>0</v>
      </c>
      <c r="I92" s="186">
        <f>I91</f>
        <v>0</v>
      </c>
      <c r="J92" s="128"/>
      <c r="K92" s="178"/>
      <c r="L92" s="105"/>
    </row>
    <row r="93" customFormat="1" ht="15.75" customHeight="1" spans="1:12">
      <c r="A93" s="184"/>
      <c r="B93" s="184"/>
      <c r="C93" s="184"/>
      <c r="D93" s="184"/>
      <c r="E93" s="184"/>
      <c r="F93" s="184"/>
      <c r="G93" s="184"/>
      <c r="H93" s="184"/>
      <c r="I93" s="184"/>
      <c r="J93" s="128"/>
      <c r="K93" s="105"/>
      <c r="L93" s="105"/>
    </row>
    <row r="94" customFormat="1" ht="15.75" customHeight="1" spans="1:12">
      <c r="A94" s="42" t="s">
        <v>175</v>
      </c>
      <c r="B94" s="42"/>
      <c r="C94" s="42"/>
      <c r="D94" s="42"/>
      <c r="E94" s="42"/>
      <c r="F94" s="42"/>
      <c r="G94" s="42"/>
      <c r="H94" s="42"/>
      <c r="I94" s="42"/>
      <c r="J94" s="128"/>
      <c r="K94" s="105"/>
      <c r="L94" s="105"/>
    </row>
    <row r="95" customFormat="1" ht="15.75" customHeight="1" spans="1:12">
      <c r="A95" s="42" t="s">
        <v>176</v>
      </c>
      <c r="B95" s="42"/>
      <c r="C95" s="42"/>
      <c r="D95" s="42"/>
      <c r="E95" s="42"/>
      <c r="F95" s="42"/>
      <c r="G95" s="42"/>
      <c r="H95" s="42"/>
      <c r="I95" s="42" t="s">
        <v>81</v>
      </c>
      <c r="J95" s="128"/>
      <c r="K95" s="105"/>
      <c r="L95" s="105"/>
    </row>
    <row r="96" customFormat="1" ht="15.75" customHeight="1" spans="1:12">
      <c r="A96" s="42" t="s">
        <v>177</v>
      </c>
      <c r="B96" s="35" t="s">
        <v>178</v>
      </c>
      <c r="C96" s="35"/>
      <c r="D96" s="35"/>
      <c r="E96" s="35"/>
      <c r="F96" s="35"/>
      <c r="G96" s="35"/>
      <c r="H96" s="35"/>
      <c r="I96" s="185">
        <f>I88</f>
        <v>73.04</v>
      </c>
      <c r="J96" s="128"/>
      <c r="K96" s="105"/>
      <c r="L96" s="105"/>
    </row>
    <row r="97" customFormat="1" ht="15.75" customHeight="1" spans="1:12">
      <c r="A97" s="42" t="s">
        <v>179</v>
      </c>
      <c r="B97" s="35" t="s">
        <v>180</v>
      </c>
      <c r="C97" s="35"/>
      <c r="D97" s="35"/>
      <c r="E97" s="35"/>
      <c r="F97" s="35"/>
      <c r="G97" s="35"/>
      <c r="H97" s="35"/>
      <c r="I97" s="185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73.04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/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93">
        <v>39.42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39.42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1678.07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247.23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73.04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39.42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3916.94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91">
        <v>0.022299</v>
      </c>
      <c r="I115" s="86">
        <f>ROUND(H115*I112,2)</f>
        <v>87.34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91">
        <v>0.021</v>
      </c>
      <c r="I116" s="86">
        <f>ROUND(H116*(I112+I115),2)</f>
        <v>84.09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188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91">
        <v>0.0065</v>
      </c>
      <c r="I118" s="86">
        <f t="shared" ref="I118:I120" si="5">ROUND($I$128*H118,2)</f>
        <v>29.09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92">
        <v>0.03</v>
      </c>
      <c r="I119" s="86">
        <f t="shared" si="5"/>
        <v>134.27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223.78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0.129799</v>
      </c>
      <c r="I121" s="57">
        <f>SUM(I115:I120)</f>
        <v>558.57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0.0865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4088.37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4475.5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387.13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1678.07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247.23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73.04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39.42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3916.94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558.57</v>
      </c>
      <c r="J140" s="182">
        <f>SUM(J30:J139)</f>
        <v>3295.5006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4475.51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875" right="0.7875" top="1.05277777777778" bottom="1.05277777777778" header="0.7875" footer="0.7875"/>
  <pageSetup paperSize="9" scale="34" firstPageNumber="0" fitToHeight="0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rowBreaks count="1" manualBreakCount="1">
    <brk id="7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80" topLeftCell="A51" workbookViewId="0">
      <selection activeCell="K58" sqref="K58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3.7619047619048" customWidth="1"/>
    <col min="10" max="10" width="28.7428571428571" customWidth="1"/>
    <col min="11" max="11" width="30.352380952381" customWidth="1"/>
    <col min="12" max="12" width="30.8952380952381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221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187" t="s">
        <v>222</v>
      </c>
      <c r="B3" s="187"/>
      <c r="C3" s="187"/>
      <c r="D3" s="187"/>
      <c r="E3" s="187"/>
      <c r="F3" s="187"/>
      <c r="G3" s="187"/>
      <c r="H3" s="187"/>
      <c r="I3" s="18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3292.2306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4.85" customHeight="1" spans="1:12">
      <c r="A15" s="54" t="s">
        <v>58</v>
      </c>
      <c r="B15" s="54"/>
      <c r="C15" s="94" t="s">
        <v>14</v>
      </c>
      <c r="D15" s="94"/>
      <c r="E15" s="29">
        <v>3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39.42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 t="str">
        <f>I53</f>
        <v>-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480.19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4475.98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3995.79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439.5369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4475.98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53.71176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4475.98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44.7598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0.03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</f>
        <v>1879.18</v>
      </c>
      <c r="K31" s="116" t="s">
        <v>69</v>
      </c>
      <c r="L31" s="117">
        <f>L19</f>
        <v>4475.98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134.2794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0.0065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4475.98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211.79862</v>
      </c>
      <c r="K35" s="118" t="s">
        <v>75</v>
      </c>
      <c r="L35" s="119">
        <f>L34*L33</f>
        <v>29.09387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307.64514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4475.98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223.799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925.18073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4217.41133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188">
        <v>0.015</v>
      </c>
      <c r="I44" s="86">
        <f t="shared" si="0"/>
        <v>33.95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0.353</v>
      </c>
      <c r="I50" s="57">
        <f>SUM(I42:I49)</f>
        <v>798.89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4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4217.41133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189">
        <v>0</v>
      </c>
      <c r="I53" s="56" t="s">
        <v>130</v>
      </c>
      <c r="J53" s="125" t="str">
        <f t="shared" ref="J53:J56" si="2">I53</f>
        <v>-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6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4475.98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190">
        <v>5</v>
      </c>
      <c r="J56" s="125">
        <f t="shared" si="2"/>
        <v>5</v>
      </c>
      <c r="K56" s="156" t="s">
        <v>134</v>
      </c>
      <c r="L56" s="149">
        <f>L43</f>
        <v>4217.41133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492.12</v>
      </c>
      <c r="J57" s="128"/>
      <c r="K57" s="157" t="s">
        <v>136</v>
      </c>
      <c r="L57" s="158">
        <f>L55-L56</f>
        <v>258.56867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219</v>
      </c>
      <c r="L58" s="160">
        <f>SUM(I70:I73,I98,I106,I115)</f>
        <v>304.13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-45.5613300000003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220</v>
      </c>
      <c r="L60" s="163">
        <f>ROUND(L59*L51,2)</f>
        <v>-182.25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-2186.94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798.89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492.12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1674.93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1674.93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3554.11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14.93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1.07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65.75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0.0065</v>
      </c>
      <c r="I73" s="86">
        <f t="shared" si="3"/>
        <v>23.1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142.16</v>
      </c>
      <c r="J74" s="125">
        <f>I74</f>
        <v>142.16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0.0695</v>
      </c>
      <c r="I75" s="57">
        <f>SUM(I70:I74)</f>
        <v>247.01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1674.93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247.01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3801.12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35.35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21.29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1.14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12.54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2.66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72.98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42" t="s">
        <v>80</v>
      </c>
      <c r="I90" s="30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3">
        <v>0</v>
      </c>
      <c r="I91" s="86">
        <f>I31*H91</f>
        <v>0</v>
      </c>
      <c r="J91" s="128"/>
      <c r="K91" s="105"/>
      <c r="L91" s="105"/>
    </row>
    <row r="92" customFormat="1" ht="15.75" customHeight="1" spans="1:12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  <c r="J92" s="128"/>
      <c r="K92" s="178"/>
      <c r="L92" s="105"/>
    </row>
    <row r="93" customFormat="1" ht="15.75" customHeight="1" spans="1:12">
      <c r="A93" s="49"/>
      <c r="B93" s="49"/>
      <c r="C93" s="49"/>
      <c r="D93" s="49"/>
      <c r="E93" s="49"/>
      <c r="F93" s="49"/>
      <c r="G93" s="49"/>
      <c r="H93" s="49"/>
      <c r="I93" s="49"/>
      <c r="J93" s="128"/>
      <c r="K93" s="105"/>
      <c r="L93" s="105"/>
    </row>
    <row r="94" customFormat="1" ht="15.75" customHeight="1" spans="1:12">
      <c r="A94" s="30" t="s">
        <v>175</v>
      </c>
      <c r="B94" s="30"/>
      <c r="C94" s="30"/>
      <c r="D94" s="30"/>
      <c r="E94" s="30"/>
      <c r="F94" s="30"/>
      <c r="G94" s="30"/>
      <c r="H94" s="30"/>
      <c r="I94" s="30"/>
      <c r="J94" s="128"/>
      <c r="K94" s="105"/>
      <c r="L94" s="105"/>
    </row>
    <row r="95" customFormat="1" ht="15.75" customHeight="1" spans="1:12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  <c r="J95" s="128"/>
      <c r="K95" s="105"/>
      <c r="L95" s="105"/>
    </row>
    <row r="96" customFormat="1" ht="15.75" customHeight="1" spans="1:12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72.98</v>
      </c>
      <c r="J96" s="128"/>
      <c r="K96" s="105"/>
      <c r="L96" s="105"/>
    </row>
    <row r="97" customFormat="1" ht="15.75" customHeight="1" spans="1:12">
      <c r="A97" s="28" t="s">
        <v>179</v>
      </c>
      <c r="B97" s="29" t="s">
        <v>180</v>
      </c>
      <c r="C97" s="29"/>
      <c r="D97" s="29"/>
      <c r="E97" s="29"/>
      <c r="F97" s="29"/>
      <c r="G97" s="29"/>
      <c r="H97" s="29"/>
      <c r="I97" s="86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72.98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93">
        <v>39.42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39.42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1674.93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247.01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72.98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39.42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3913.52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91">
        <v>0.0222</v>
      </c>
      <c r="I115" s="86">
        <f>ROUND(H115*I112,2)</f>
        <v>86.88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91">
        <v>0.0221</v>
      </c>
      <c r="I116" s="86">
        <f>ROUND(H116*(I112+I115),2)</f>
        <v>88.41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188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91">
        <v>0.0065</v>
      </c>
      <c r="I118" s="86">
        <f t="shared" ref="I118:I120" si="5">ROUND($I$128*H118,2)</f>
        <v>29.09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92">
        <v>0.03</v>
      </c>
      <c r="I119" s="86">
        <f t="shared" si="5"/>
        <v>134.28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223.8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0.1308</v>
      </c>
      <c r="I121" s="57">
        <f>SUM(I115:I120)</f>
        <v>562.46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0.0865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4088.81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4475.98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387.17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1674.93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247.01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72.98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39.42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3913.52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562.46</v>
      </c>
      <c r="J140" s="182">
        <f>SUM(J30:J139)</f>
        <v>3292.2306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4475.98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5" right="0.75" top="1" bottom="1" header="0.5" footer="0.5"/>
  <pageSetup paperSize="9" scale="38" fitToHeight="0" orientation="portrait"/>
  <headerFooter/>
  <rowBreaks count="2" manualBreakCount="2">
    <brk id="74" max="16383" man="1"/>
    <brk id="1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80" workbookViewId="0">
      <selection activeCell="J1" sqref="J1:L141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26.7809523809524" customWidth="1"/>
    <col min="11" max="11" width="29.6380952380952" customWidth="1"/>
    <col min="12" max="12" width="32.4952380952381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223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27" t="s">
        <v>224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3204.0962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6.85" customHeight="1" spans="1:12">
      <c r="A15" s="54" t="s">
        <v>58</v>
      </c>
      <c r="B15" s="54"/>
      <c r="C15" s="94" t="s">
        <v>14</v>
      </c>
      <c r="D15" s="94"/>
      <c r="E15" s="29">
        <v>5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 t="str">
        <f>I53</f>
        <v>-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480.186666666667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5429.94666666667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4949.76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544.4736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5429.94666666667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65.15936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5429.94666666667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54.2994666666667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5429.94666666667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412.675946666667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5429.94666666667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89.59412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5429.94666666667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271.497333333333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1437.69982666667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4641.79602666667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4641.79602666667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 t="s">
        <v>130</v>
      </c>
      <c r="I53" s="55" t="s">
        <v>130</v>
      </c>
      <c r="J53" s="125" t="str">
        <f t="shared" ref="J53:J56" si="2">I53</f>
        <v>-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5429.94666666667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4641.79602666667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495.26</v>
      </c>
      <c r="J57" s="128"/>
      <c r="K57" s="157" t="s">
        <v>136</v>
      </c>
      <c r="L57" s="158">
        <f>L55-L56</f>
        <v>788.15064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427.436666666667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360.713973333333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1803.57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21642.84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495.26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1779.91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1779.91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3659.09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15.37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1.1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67.69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 t="shared" si="3"/>
        <v>27.08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146.36</v>
      </c>
      <c r="J74" s="125">
        <f>I74</f>
        <v>146.36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257.6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1779.91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257.6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3916.69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36.43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21.93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1.18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12.93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2.74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75.21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30" t="s">
        <v>80</v>
      </c>
      <c r="I90" s="30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1">
        <v>0</v>
      </c>
      <c r="I91" s="86">
        <f>I31*H91</f>
        <v>0</v>
      </c>
      <c r="J91" s="128"/>
      <c r="K91" s="105"/>
      <c r="L91" s="105"/>
    </row>
    <row r="92" customFormat="1" ht="15.75" customHeight="1" spans="1:12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  <c r="J92" s="128"/>
      <c r="K92" s="178"/>
      <c r="L92" s="105"/>
    </row>
    <row r="93" customFormat="1" ht="15.75" customHeight="1" spans="1:12">
      <c r="A93" s="49"/>
      <c r="B93" s="49"/>
      <c r="C93" s="49"/>
      <c r="D93" s="49"/>
      <c r="E93" s="49"/>
      <c r="F93" s="49"/>
      <c r="G93" s="49"/>
      <c r="H93" s="49"/>
      <c r="I93" s="49"/>
      <c r="J93" s="128"/>
      <c r="K93" s="105"/>
      <c r="L93" s="105"/>
    </row>
    <row r="94" customFormat="1" ht="15.75" customHeight="1" spans="1:12">
      <c r="A94" s="30" t="s">
        <v>175</v>
      </c>
      <c r="B94" s="30"/>
      <c r="C94" s="30"/>
      <c r="D94" s="30"/>
      <c r="E94" s="30"/>
      <c r="F94" s="30"/>
      <c r="G94" s="30"/>
      <c r="H94" s="30"/>
      <c r="I94" s="30"/>
      <c r="J94" s="128"/>
      <c r="K94" s="105"/>
      <c r="L94" s="105"/>
    </row>
    <row r="95" customFormat="1" ht="15.75" customHeight="1" spans="1:12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  <c r="J95" s="128"/>
      <c r="K95" s="105"/>
      <c r="L95" s="105"/>
    </row>
    <row r="96" customFormat="1" ht="15.75" customHeight="1" spans="1:12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75.21</v>
      </c>
      <c r="J96" s="128"/>
      <c r="K96" s="105"/>
      <c r="L96" s="105"/>
    </row>
    <row r="97" customFormat="1" ht="15.75" customHeight="1" spans="1:12">
      <c r="A97" s="28" t="s">
        <v>179</v>
      </c>
      <c r="B97" s="35" t="s">
        <v>180</v>
      </c>
      <c r="C97" s="35"/>
      <c r="D97" s="35"/>
      <c r="E97" s="35"/>
      <c r="F97" s="35"/>
      <c r="G97" s="35"/>
      <c r="H97" s="35"/>
      <c r="I97" s="86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75.21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1779.91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257.6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75.21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4031.31666666667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201.57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423.29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 t="shared" ref="I118:I120" si="5">ROUND($I$128*H118,2)</f>
        <v>89.59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 t="shared" si="5"/>
        <v>412.68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271.5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1398.63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4656.17666666667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5429.94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773.763333333333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1779.91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257.6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75.21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4031.31666666667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1398.63</v>
      </c>
      <c r="J140" s="182">
        <f>SUM(J30:J139)</f>
        <v>3204.0962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5429.94666666667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5" right="0.75" top="1" bottom="1" header="0.5" footer="0.5"/>
  <pageSetup paperSize="9" scale="38" fitToHeight="0" orientation="portrait"/>
  <headerFooter/>
  <rowBreaks count="2" manualBreakCount="2">
    <brk id="74" max="16383" man="1"/>
    <brk id="14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80" topLeftCell="A110" workbookViewId="0">
      <selection activeCell="J1" sqref="J1:L141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26.0761904761905" customWidth="1"/>
    <col min="11" max="11" width="45.5333333333333" customWidth="1"/>
    <col min="12" max="12" width="21.6095238095238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225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27" t="s">
        <v>226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3204.0962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6.85" customHeight="1" spans="1:12">
      <c r="A15" s="54" t="s">
        <v>58</v>
      </c>
      <c r="B15" s="54"/>
      <c r="C15" s="94" t="s">
        <v>14</v>
      </c>
      <c r="D15" s="94"/>
      <c r="E15" s="29">
        <v>4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 t="str">
        <f>I53</f>
        <v>-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480.186666666667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5429.94666666667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4949.76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544.4736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5429.94666666667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65.15936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5429.94666666667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54.2994666666667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5429.94666666667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412.675946666667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5429.94666666667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89.59412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5429.94666666667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271.497333333333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1437.69982666667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4641.79602666667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4641.79602666667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 t="s">
        <v>130</v>
      </c>
      <c r="I53" s="55" t="s">
        <v>130</v>
      </c>
      <c r="J53" s="125" t="str">
        <f t="shared" ref="J53:J56" si="2">I53</f>
        <v>-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5429.94666666667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4641.79602666667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495.26</v>
      </c>
      <c r="J57" s="128"/>
      <c r="K57" s="157" t="s">
        <v>136</v>
      </c>
      <c r="L57" s="158">
        <f>L55-L56</f>
        <v>788.15064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427.436666666667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360.713973333333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1803.57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21642.84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495.26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1779.91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1779.91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3659.09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15.37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1.1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67.69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 t="shared" si="3"/>
        <v>27.08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146.36</v>
      </c>
      <c r="J74" s="125">
        <f>I74</f>
        <v>146.36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257.6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1779.91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257.6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3916.69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36.43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21.93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1.18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12.93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2.74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75.21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42" t="s">
        <v>80</v>
      </c>
      <c r="I90" s="42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3">
        <v>0</v>
      </c>
      <c r="I91" s="185">
        <f>I31*H91</f>
        <v>0</v>
      </c>
      <c r="J91" s="128"/>
      <c r="K91" s="105"/>
      <c r="L91" s="105"/>
    </row>
    <row r="92" customFormat="1" ht="15.75" customHeight="1" spans="1:12">
      <c r="A92" s="42" t="s">
        <v>174</v>
      </c>
      <c r="B92" s="42"/>
      <c r="C92" s="42"/>
      <c r="D92" s="42"/>
      <c r="E92" s="42"/>
      <c r="F92" s="42"/>
      <c r="G92" s="42"/>
      <c r="H92" s="183">
        <f>H91</f>
        <v>0</v>
      </c>
      <c r="I92" s="186">
        <f>I91</f>
        <v>0</v>
      </c>
      <c r="J92" s="128"/>
      <c r="K92" s="178"/>
      <c r="L92" s="105"/>
    </row>
    <row r="93" customFormat="1" ht="15.75" customHeight="1" spans="1:12">
      <c r="A93" s="184"/>
      <c r="B93" s="184"/>
      <c r="C93" s="184"/>
      <c r="D93" s="184"/>
      <c r="E93" s="184"/>
      <c r="F93" s="184"/>
      <c r="G93" s="184"/>
      <c r="H93" s="184"/>
      <c r="I93" s="184"/>
      <c r="J93" s="128"/>
      <c r="K93" s="105"/>
      <c r="L93" s="105"/>
    </row>
    <row r="94" customFormat="1" ht="15.75" customHeight="1" spans="1:12">
      <c r="A94" s="42" t="s">
        <v>175</v>
      </c>
      <c r="B94" s="42"/>
      <c r="C94" s="42"/>
      <c r="D94" s="42"/>
      <c r="E94" s="42"/>
      <c r="F94" s="42"/>
      <c r="G94" s="42"/>
      <c r="H94" s="42"/>
      <c r="I94" s="42"/>
      <c r="J94" s="128"/>
      <c r="K94" s="105"/>
      <c r="L94" s="105"/>
    </row>
    <row r="95" customFormat="1" ht="15.75" customHeight="1" spans="1:12">
      <c r="A95" s="42" t="s">
        <v>176</v>
      </c>
      <c r="B95" s="42"/>
      <c r="C95" s="42"/>
      <c r="D95" s="42"/>
      <c r="E95" s="42"/>
      <c r="F95" s="42"/>
      <c r="G95" s="42"/>
      <c r="H95" s="42"/>
      <c r="I95" s="42" t="s">
        <v>81</v>
      </c>
      <c r="J95" s="128"/>
      <c r="K95" s="105"/>
      <c r="L95" s="105"/>
    </row>
    <row r="96" customFormat="1" ht="15.75" customHeight="1" spans="1:12">
      <c r="A96" s="42" t="s">
        <v>177</v>
      </c>
      <c r="B96" s="35" t="s">
        <v>178</v>
      </c>
      <c r="C96" s="35"/>
      <c r="D96" s="35"/>
      <c r="E96" s="35"/>
      <c r="F96" s="35"/>
      <c r="G96" s="35"/>
      <c r="H96" s="35"/>
      <c r="I96" s="185">
        <f>I88</f>
        <v>75.21</v>
      </c>
      <c r="J96" s="128"/>
      <c r="K96" s="105"/>
      <c r="L96" s="105"/>
    </row>
    <row r="97" customFormat="1" ht="15.75" customHeight="1" spans="1:12">
      <c r="A97" s="42" t="s">
        <v>179</v>
      </c>
      <c r="B97" s="35" t="s">
        <v>180</v>
      </c>
      <c r="C97" s="35"/>
      <c r="D97" s="35"/>
      <c r="E97" s="35"/>
      <c r="F97" s="35"/>
      <c r="G97" s="35"/>
      <c r="H97" s="35"/>
      <c r="I97" s="185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75.21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1779.91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257.6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75.21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4031.31666666667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201.57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423.29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 t="shared" ref="I118:I120" si="5">ROUND($I$128*H118,2)</f>
        <v>89.59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 t="shared" si="5"/>
        <v>412.68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271.5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1398.63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4656.17666666667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5429.94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773.763333333333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1779.91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257.6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75.21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4031.31666666667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1398.63</v>
      </c>
      <c r="J140" s="182">
        <f>SUM(J30:J139)</f>
        <v>3204.0962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5429.94666666667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5" right="0.75" top="1" bottom="1" header="0.5" footer="0.5"/>
  <pageSetup paperSize="9" scale="37" fitToHeight="0" orientation="portrait"/>
  <headerFooter/>
  <rowBreaks count="1" manualBreakCount="1">
    <brk id="74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100" topLeftCell="A72" workbookViewId="0">
      <selection activeCell="J1" sqref="J1:L141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26.4285714285714" customWidth="1"/>
    <col min="11" max="11" width="30.7142857142857" customWidth="1"/>
    <col min="12" max="12" width="36.7904761904762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227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27" t="s">
        <v>228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3204.0962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6.85" customHeight="1" spans="1:12">
      <c r="A15" s="54" t="s">
        <v>58</v>
      </c>
      <c r="B15" s="54"/>
      <c r="C15" s="94" t="s">
        <v>14</v>
      </c>
      <c r="D15" s="94"/>
      <c r="E15" s="29">
        <v>1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 t="str">
        <f>I53</f>
        <v>-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480.186666666667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5429.94666666667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4949.76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544.4736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5429.94666666667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65.15936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5429.94666666667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54.2994666666667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5429.94666666667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412.675946666667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5429.94666666667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89.59412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5429.94666666667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271.497333333333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1437.69982666667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4641.79602666667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4641.79602666667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 t="s">
        <v>130</v>
      </c>
      <c r="I53" s="55" t="s">
        <v>130</v>
      </c>
      <c r="J53" s="125" t="str">
        <f t="shared" ref="J53:J56" si="2">I53</f>
        <v>-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5429.94666666667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4641.79602666667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495.26</v>
      </c>
      <c r="J57" s="128"/>
      <c r="K57" s="157" t="s">
        <v>136</v>
      </c>
      <c r="L57" s="158">
        <f>L55-L56</f>
        <v>788.15064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427.436666666667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360.713973333333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1803.57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21642.84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495.26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1779.91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1779.91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3659.09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15.37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1.1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67.69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 t="shared" si="3"/>
        <v>27.08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146.36</v>
      </c>
      <c r="J74" s="125">
        <f>I74</f>
        <v>146.36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257.6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1779.91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257.6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3916.69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36.43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21.93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1.18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12.93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2.74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75.21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30" t="s">
        <v>80</v>
      </c>
      <c r="I90" s="30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1">
        <v>0</v>
      </c>
      <c r="I91" s="86">
        <f>I31*H91</f>
        <v>0</v>
      </c>
      <c r="J91" s="128"/>
      <c r="K91" s="105"/>
      <c r="L91" s="105"/>
    </row>
    <row r="92" customFormat="1" ht="15.75" customHeight="1" spans="1:12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  <c r="J92" s="128"/>
      <c r="K92" s="178"/>
      <c r="L92" s="105"/>
    </row>
    <row r="93" customFormat="1" ht="15.75" customHeight="1" spans="1:12">
      <c r="A93" s="49"/>
      <c r="B93" s="49"/>
      <c r="C93" s="49"/>
      <c r="D93" s="49"/>
      <c r="E93" s="49"/>
      <c r="F93" s="49"/>
      <c r="G93" s="49"/>
      <c r="H93" s="49"/>
      <c r="I93" s="49"/>
      <c r="J93" s="128"/>
      <c r="K93" s="105"/>
      <c r="L93" s="105"/>
    </row>
    <row r="94" customFormat="1" ht="15.75" customHeight="1" spans="1:12">
      <c r="A94" s="30" t="s">
        <v>175</v>
      </c>
      <c r="B94" s="30"/>
      <c r="C94" s="30"/>
      <c r="D94" s="30"/>
      <c r="E94" s="30"/>
      <c r="F94" s="30"/>
      <c r="G94" s="30"/>
      <c r="H94" s="30"/>
      <c r="I94" s="30"/>
      <c r="J94" s="128"/>
      <c r="K94" s="105"/>
      <c r="L94" s="105"/>
    </row>
    <row r="95" customFormat="1" ht="15.75" customHeight="1" spans="1:12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  <c r="J95" s="128"/>
      <c r="K95" s="105"/>
      <c r="L95" s="105"/>
    </row>
    <row r="96" customFormat="1" ht="15.75" customHeight="1" spans="1:12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75.21</v>
      </c>
      <c r="J96" s="128"/>
      <c r="K96" s="105"/>
      <c r="L96" s="105"/>
    </row>
    <row r="97" customFormat="1" ht="15.75" customHeight="1" spans="1:12">
      <c r="A97" s="28" t="s">
        <v>179</v>
      </c>
      <c r="B97" s="35" t="s">
        <v>180</v>
      </c>
      <c r="C97" s="35"/>
      <c r="D97" s="35"/>
      <c r="E97" s="35"/>
      <c r="F97" s="35"/>
      <c r="G97" s="35"/>
      <c r="H97" s="35"/>
      <c r="I97" s="86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75.21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1779.91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257.6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75.21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4031.31666666667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201.57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423.29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 t="shared" ref="I118:I120" si="5">ROUND($I$128*H118,2)</f>
        <v>89.59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 t="shared" si="5"/>
        <v>412.68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271.5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1398.63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4656.17666666667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5429.94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773.763333333333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1779.91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257.6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75.21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4031.31666666667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1398.63</v>
      </c>
      <c r="J140" s="182">
        <f>SUM(J30:J139)</f>
        <v>3204.0962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5429.94666666667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5" right="0.75" top="1" bottom="1" header="0.5" footer="0.5"/>
  <pageSetup paperSize="9" scale="37" fitToHeight="0" orientation="portrait"/>
  <headerFooter/>
  <rowBreaks count="1" manualBreakCount="1">
    <brk id="74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"/>
  <sheetViews>
    <sheetView view="pageBreakPreview" zoomScale="80" zoomScaleNormal="100" workbookViewId="0">
      <selection activeCell="J148" sqref="J148"/>
    </sheetView>
  </sheetViews>
  <sheetFormatPr defaultColWidth="9" defaultRowHeight="15"/>
  <cols>
    <col min="1" max="1" width="7.40952380952381" customWidth="1"/>
    <col min="2" max="2" width="12.4285714285714" customWidth="1"/>
    <col min="3" max="3" width="15" customWidth="1"/>
    <col min="4" max="4" width="15.2857142857143" customWidth="1"/>
    <col min="5" max="5" width="13.4285714285714" customWidth="1"/>
    <col min="6" max="6" width="13.5714285714286" customWidth="1"/>
    <col min="7" max="7" width="11.8571428571429" customWidth="1"/>
    <col min="8" max="8" width="12.8571428571429" customWidth="1"/>
    <col min="9" max="9" width="36.1904761904762" customWidth="1"/>
    <col min="10" max="10" width="33.752380952381" customWidth="1"/>
    <col min="11" max="11" width="45.7047619047619" customWidth="1"/>
    <col min="12" max="12" width="21.4285714285714" customWidth="1"/>
    <col min="13" max="13" width="7.15238095238095" customWidth="1"/>
    <col min="14" max="14" width="10.5809523809524" customWidth="1"/>
    <col min="15" max="1025" width="14.4285714285714" customWidth="1"/>
  </cols>
  <sheetData>
    <row r="1" customFormat="1" customHeight="1" spans="1:12">
      <c r="A1" s="24" t="s">
        <v>229</v>
      </c>
      <c r="B1" s="24"/>
      <c r="C1" s="24"/>
      <c r="D1" s="24"/>
      <c r="E1" s="24"/>
      <c r="F1" s="24"/>
      <c r="G1" s="24"/>
      <c r="H1" s="24"/>
      <c r="I1" s="24"/>
      <c r="J1" s="95"/>
      <c r="K1" s="96"/>
      <c r="L1" s="96"/>
    </row>
    <row r="2" customFormat="1" ht="15.75" spans="1:12">
      <c r="A2" s="25"/>
      <c r="B2" s="26"/>
      <c r="C2" s="26"/>
      <c r="D2" s="26"/>
      <c r="E2" s="26"/>
      <c r="F2" s="26"/>
      <c r="G2" s="26"/>
      <c r="H2" s="26"/>
      <c r="I2" s="26"/>
      <c r="J2" s="95"/>
      <c r="K2" s="96"/>
      <c r="L2" s="96"/>
    </row>
    <row r="3" customFormat="1" ht="15.75" spans="1:12">
      <c r="A3" s="27" t="s">
        <v>230</v>
      </c>
      <c r="B3" s="27"/>
      <c r="C3" s="27"/>
      <c r="D3" s="27"/>
      <c r="E3" s="27"/>
      <c r="F3" s="27"/>
      <c r="G3" s="27"/>
      <c r="H3" s="27"/>
      <c r="I3" s="27"/>
      <c r="J3" s="97" t="s">
        <v>34</v>
      </c>
      <c r="K3" s="96"/>
      <c r="L3" s="96"/>
    </row>
    <row r="4" customFormat="1" ht="15.75" spans="1:12">
      <c r="A4" s="28"/>
      <c r="B4" s="28"/>
      <c r="C4" s="28"/>
      <c r="D4" s="28"/>
      <c r="E4" s="28"/>
      <c r="F4" s="28"/>
      <c r="G4" s="28"/>
      <c r="H4" s="28"/>
      <c r="I4" s="28"/>
      <c r="J4" s="97"/>
      <c r="K4" s="96"/>
      <c r="L4" s="96"/>
    </row>
    <row r="5" customFormat="1" ht="15.75" spans="1:12">
      <c r="A5" s="28" t="s">
        <v>35</v>
      </c>
      <c r="B5" s="28"/>
      <c r="C5" s="28"/>
      <c r="D5" s="28"/>
      <c r="E5" s="28"/>
      <c r="F5" s="28"/>
      <c r="G5" s="28"/>
      <c r="H5" s="29" t="s">
        <v>36</v>
      </c>
      <c r="I5" s="29"/>
      <c r="J5" s="97"/>
      <c r="K5" s="96"/>
      <c r="L5" s="96"/>
    </row>
    <row r="6" customFormat="1" ht="15.75" spans="1:12">
      <c r="A6" s="28"/>
      <c r="B6" s="28"/>
      <c r="C6" s="28"/>
      <c r="D6" s="28"/>
      <c r="E6" s="28"/>
      <c r="F6" s="28"/>
      <c r="G6" s="28"/>
      <c r="H6" s="28"/>
      <c r="I6" s="28"/>
      <c r="J6" s="97"/>
      <c r="K6" s="98"/>
      <c r="L6" s="98"/>
    </row>
    <row r="7" customFormat="1" ht="16.5" spans="1:1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97"/>
      <c r="K7" s="96"/>
      <c r="L7" s="96"/>
    </row>
    <row r="8" customFormat="1" ht="15.75" spans="1:12">
      <c r="A8" s="29" t="s">
        <v>38</v>
      </c>
      <c r="B8" s="31" t="s">
        <v>39</v>
      </c>
      <c r="C8" s="31"/>
      <c r="D8" s="31"/>
      <c r="E8" s="31"/>
      <c r="F8" s="31"/>
      <c r="G8" s="31"/>
      <c r="H8" s="31"/>
      <c r="I8" s="51"/>
      <c r="J8" s="97"/>
      <c r="K8" s="99" t="s">
        <v>40</v>
      </c>
      <c r="L8" s="100"/>
    </row>
    <row r="9" customFormat="1" ht="16.5" spans="1:12">
      <c r="A9" s="29" t="s">
        <v>41</v>
      </c>
      <c r="B9" s="31" t="s">
        <v>42</v>
      </c>
      <c r="C9" s="31"/>
      <c r="D9" s="31"/>
      <c r="E9" s="31"/>
      <c r="F9" s="31"/>
      <c r="G9" s="31"/>
      <c r="H9" s="31"/>
      <c r="I9" s="29" t="s">
        <v>43</v>
      </c>
      <c r="J9" s="97"/>
      <c r="K9" s="101" t="s">
        <v>44</v>
      </c>
      <c r="L9" s="102"/>
    </row>
    <row r="10" customFormat="1" ht="16.5" spans="1:12">
      <c r="A10" s="29" t="s">
        <v>45</v>
      </c>
      <c r="B10" s="31" t="s">
        <v>46</v>
      </c>
      <c r="C10" s="31"/>
      <c r="D10" s="31"/>
      <c r="E10" s="31"/>
      <c r="F10" s="31"/>
      <c r="G10" s="31"/>
      <c r="H10" s="31"/>
      <c r="I10" s="29" t="s">
        <v>47</v>
      </c>
      <c r="J10" s="97"/>
      <c r="K10" s="103" t="s">
        <v>48</v>
      </c>
      <c r="L10" s="104">
        <f>J140</f>
        <v>3315.6362</v>
      </c>
    </row>
    <row r="11" customFormat="1" ht="16.5" spans="1:12">
      <c r="A11" s="29" t="s">
        <v>49</v>
      </c>
      <c r="B11" s="31" t="s">
        <v>50</v>
      </c>
      <c r="C11" s="31"/>
      <c r="D11" s="31"/>
      <c r="E11" s="31"/>
      <c r="F11" s="31"/>
      <c r="G11" s="31"/>
      <c r="H11" s="31"/>
      <c r="I11" s="29">
        <v>12</v>
      </c>
      <c r="J11" s="97"/>
      <c r="K11" s="105"/>
      <c r="L11" s="105"/>
    </row>
    <row r="12" customFormat="1" ht="15.75" spans="1:12">
      <c r="A12" s="32"/>
      <c r="B12" s="32"/>
      <c r="C12" s="32"/>
      <c r="D12" s="32"/>
      <c r="E12" s="32"/>
      <c r="F12" s="32"/>
      <c r="G12" s="32"/>
      <c r="H12" s="32"/>
      <c r="I12" s="32"/>
      <c r="J12" s="97"/>
      <c r="K12" s="99" t="s">
        <v>51</v>
      </c>
      <c r="L12" s="100"/>
    </row>
    <row r="13" customFormat="1" ht="16.5" spans="1:12">
      <c r="A13" s="30" t="s">
        <v>52</v>
      </c>
      <c r="B13" s="30"/>
      <c r="C13" s="30"/>
      <c r="D13" s="30"/>
      <c r="E13" s="30"/>
      <c r="F13" s="30"/>
      <c r="G13" s="30"/>
      <c r="H13" s="30"/>
      <c r="I13" s="30"/>
      <c r="J13" s="97"/>
      <c r="K13" s="106" t="s">
        <v>53</v>
      </c>
      <c r="L13" s="107"/>
    </row>
    <row r="14" customFormat="1" ht="12.75" customHeight="1" spans="1:12">
      <c r="A14" s="29" t="s">
        <v>54</v>
      </c>
      <c r="B14" s="29"/>
      <c r="C14" s="29" t="s">
        <v>55</v>
      </c>
      <c r="D14" s="29"/>
      <c r="E14" s="29" t="s">
        <v>56</v>
      </c>
      <c r="F14" s="29"/>
      <c r="G14" s="29"/>
      <c r="H14" s="29"/>
      <c r="I14" s="29"/>
      <c r="J14" s="97"/>
      <c r="K14" s="108" t="s">
        <v>57</v>
      </c>
      <c r="L14" s="109">
        <v>0.11</v>
      </c>
    </row>
    <row r="15" customFormat="1" ht="26.85" customHeight="1" spans="1:12">
      <c r="A15" s="54" t="s">
        <v>58</v>
      </c>
      <c r="B15" s="54"/>
      <c r="C15" s="94" t="s">
        <v>14</v>
      </c>
      <c r="D15" s="94"/>
      <c r="E15" s="29">
        <v>5</v>
      </c>
      <c r="F15" s="29"/>
      <c r="G15" s="29"/>
      <c r="H15" s="29"/>
      <c r="I15" s="29"/>
      <c r="J15" s="97"/>
      <c r="K15" s="110" t="s">
        <v>59</v>
      </c>
      <c r="L15" s="111">
        <f>I54</f>
        <v>440.77</v>
      </c>
    </row>
    <row r="16" customFormat="1" ht="15.75" spans="1:12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97"/>
      <c r="K16" s="110" t="s">
        <v>61</v>
      </c>
      <c r="L16" s="111">
        <f>I106</f>
        <v>39.4166666666667</v>
      </c>
    </row>
    <row r="17" customFormat="1" ht="15.75" spans="1:12">
      <c r="A17" s="29">
        <v>1</v>
      </c>
      <c r="B17" s="31" t="s">
        <v>62</v>
      </c>
      <c r="C17" s="31"/>
      <c r="D17" s="31"/>
      <c r="E17" s="31"/>
      <c r="F17" s="31"/>
      <c r="G17" s="31"/>
      <c r="H17" s="31"/>
      <c r="I17" s="37" t="s">
        <v>63</v>
      </c>
      <c r="J17" s="97"/>
      <c r="K17" s="110" t="s">
        <v>64</v>
      </c>
      <c r="L17" s="111">
        <f>I53</f>
        <v>107.25</v>
      </c>
    </row>
    <row r="18" customFormat="1" ht="15.75" spans="1:12">
      <c r="A18" s="29">
        <v>2</v>
      </c>
      <c r="B18" s="31" t="s">
        <v>65</v>
      </c>
      <c r="C18" s="31"/>
      <c r="D18" s="31"/>
      <c r="E18" s="31"/>
      <c r="F18" s="31"/>
      <c r="G18" s="31"/>
      <c r="H18" s="31"/>
      <c r="I18" s="35" t="s">
        <v>66</v>
      </c>
      <c r="J18" s="97"/>
      <c r="K18" s="112" t="s">
        <v>67</v>
      </c>
      <c r="L18" s="113">
        <f>SUM(L15:L17)</f>
        <v>587.436666666667</v>
      </c>
    </row>
    <row r="19" customFormat="1" ht="15.75" spans="1:12">
      <c r="A19" s="29">
        <v>3</v>
      </c>
      <c r="B19" s="31" t="s">
        <v>68</v>
      </c>
      <c r="C19" s="31"/>
      <c r="D19" s="31"/>
      <c r="E19" s="31"/>
      <c r="F19" s="31"/>
      <c r="G19" s="31"/>
      <c r="H19" s="31"/>
      <c r="I19" s="114">
        <v>1879.18</v>
      </c>
      <c r="J19" s="97"/>
      <c r="K19" s="110" t="s">
        <v>69</v>
      </c>
      <c r="L19" s="115">
        <f>I141</f>
        <v>5587.51666666667</v>
      </c>
    </row>
    <row r="20" customFormat="1" ht="38.25" spans="1:12">
      <c r="A20" s="37">
        <v>4</v>
      </c>
      <c r="B20" s="38" t="s">
        <v>70</v>
      </c>
      <c r="C20" s="38"/>
      <c r="D20" s="38"/>
      <c r="E20" s="38"/>
      <c r="F20" s="38"/>
      <c r="G20" s="38"/>
      <c r="H20" s="38"/>
      <c r="I20" s="54" t="s">
        <v>71</v>
      </c>
      <c r="J20" s="97"/>
      <c r="K20" s="116" t="s">
        <v>72</v>
      </c>
      <c r="L20" s="117">
        <f>L19-L18</f>
        <v>5000.08</v>
      </c>
    </row>
    <row r="21" customFormat="1" ht="16.5" spans="1:12">
      <c r="A21" s="29">
        <v>5</v>
      </c>
      <c r="B21" s="31" t="s">
        <v>73</v>
      </c>
      <c r="C21" s="31"/>
      <c r="D21" s="31"/>
      <c r="E21" s="31"/>
      <c r="F21" s="31"/>
      <c r="G21" s="31"/>
      <c r="H21" s="31"/>
      <c r="I21" s="51" t="s">
        <v>74</v>
      </c>
      <c r="J21" s="97"/>
      <c r="K21" s="118" t="s">
        <v>75</v>
      </c>
      <c r="L21" s="119">
        <f>L20*11%</f>
        <v>550.0088</v>
      </c>
    </row>
    <row r="22" customFormat="1" ht="16.5" spans="1:12">
      <c r="A22" s="39"/>
      <c r="B22" s="39"/>
      <c r="C22" s="39"/>
      <c r="D22" s="39"/>
      <c r="E22" s="39"/>
      <c r="F22" s="39"/>
      <c r="G22" s="39"/>
      <c r="H22" s="39"/>
      <c r="I22" s="39"/>
      <c r="J22" s="97"/>
      <c r="K22" s="108" t="s">
        <v>76</v>
      </c>
      <c r="L22" s="120"/>
    </row>
    <row r="23" customFormat="1" ht="15.75" customHeight="1" spans="1:12">
      <c r="A23" s="30" t="s">
        <v>77</v>
      </c>
      <c r="B23" s="30"/>
      <c r="C23" s="30"/>
      <c r="D23" s="30"/>
      <c r="E23" s="30"/>
      <c r="F23" s="30"/>
      <c r="G23" s="30"/>
      <c r="H23" s="30"/>
      <c r="I23" s="30"/>
      <c r="J23" s="97"/>
      <c r="K23" s="121" t="s">
        <v>78</v>
      </c>
      <c r="L23" s="122">
        <v>0.012</v>
      </c>
    </row>
    <row r="24" customFormat="1" ht="15.75" customHeight="1" spans="1:12">
      <c r="A24" s="40">
        <v>1</v>
      </c>
      <c r="B24" s="30" t="s">
        <v>79</v>
      </c>
      <c r="C24" s="30"/>
      <c r="D24" s="30"/>
      <c r="E24" s="30"/>
      <c r="F24" s="30"/>
      <c r="G24" s="30"/>
      <c r="H24" s="30" t="s">
        <v>80</v>
      </c>
      <c r="I24" s="30" t="s">
        <v>81</v>
      </c>
      <c r="J24" s="97"/>
      <c r="K24" s="123" t="s">
        <v>82</v>
      </c>
      <c r="L24" s="124">
        <v>0.048</v>
      </c>
    </row>
    <row r="25" customFormat="1" ht="15.75" customHeight="1" spans="1:12">
      <c r="A25" s="28" t="s">
        <v>38</v>
      </c>
      <c r="B25" s="31" t="s">
        <v>83</v>
      </c>
      <c r="C25" s="31"/>
      <c r="D25" s="31"/>
      <c r="E25" s="31"/>
      <c r="F25" s="31"/>
      <c r="G25" s="31"/>
      <c r="H25" s="39"/>
      <c r="I25" s="55">
        <f>I19</f>
        <v>1879.18</v>
      </c>
      <c r="J25" s="97"/>
      <c r="K25" s="110" t="s">
        <v>84</v>
      </c>
      <c r="L25" s="115">
        <f>L19</f>
        <v>5587.51666666667</v>
      </c>
    </row>
    <row r="26" customFormat="1" ht="15.75" customHeight="1" spans="1:12">
      <c r="A26" s="28" t="s">
        <v>41</v>
      </c>
      <c r="B26" s="31" t="s">
        <v>85</v>
      </c>
      <c r="C26" s="31"/>
      <c r="D26" s="31"/>
      <c r="E26" s="31"/>
      <c r="F26" s="31"/>
      <c r="G26" s="31"/>
      <c r="H26" s="41"/>
      <c r="I26" s="55">
        <v>0</v>
      </c>
      <c r="J26" s="97"/>
      <c r="K26" s="118" t="s">
        <v>86</v>
      </c>
      <c r="L26" s="119">
        <f>L25*L23</f>
        <v>67.0502</v>
      </c>
    </row>
    <row r="27" customFormat="1" ht="15.75" customHeight="1" spans="1:12">
      <c r="A27" s="28" t="s">
        <v>45</v>
      </c>
      <c r="B27" s="31" t="s">
        <v>87</v>
      </c>
      <c r="C27" s="31"/>
      <c r="D27" s="31"/>
      <c r="E27" s="31"/>
      <c r="F27" s="31"/>
      <c r="G27" s="31"/>
      <c r="H27" s="41"/>
      <c r="I27" s="55">
        <v>0</v>
      </c>
      <c r="J27" s="97"/>
      <c r="K27" s="108" t="s">
        <v>88</v>
      </c>
      <c r="L27" s="109">
        <v>0.01</v>
      </c>
    </row>
    <row r="28" customFormat="1" ht="15.75" customHeight="1" spans="1:12">
      <c r="A28" s="28" t="s">
        <v>49</v>
      </c>
      <c r="B28" s="31" t="s">
        <v>89</v>
      </c>
      <c r="C28" s="31"/>
      <c r="D28" s="31"/>
      <c r="E28" s="31"/>
      <c r="F28" s="31"/>
      <c r="G28" s="31"/>
      <c r="H28" s="41"/>
      <c r="I28" s="55">
        <v>0</v>
      </c>
      <c r="J28" s="97"/>
      <c r="K28" s="116" t="s">
        <v>69</v>
      </c>
      <c r="L28" s="117">
        <f>L19</f>
        <v>5587.51666666667</v>
      </c>
    </row>
    <row r="29" customFormat="1" ht="15.75" customHeight="1" spans="1:12">
      <c r="A29" s="28" t="s">
        <v>90</v>
      </c>
      <c r="B29" s="31" t="s">
        <v>91</v>
      </c>
      <c r="C29" s="31"/>
      <c r="D29" s="31"/>
      <c r="E29" s="31"/>
      <c r="F29" s="31"/>
      <c r="G29" s="31"/>
      <c r="H29" s="41"/>
      <c r="I29" s="55">
        <v>0</v>
      </c>
      <c r="J29" s="97"/>
      <c r="K29" s="118" t="s">
        <v>75</v>
      </c>
      <c r="L29" s="119">
        <f>L28*L27</f>
        <v>55.8751666666667</v>
      </c>
    </row>
    <row r="30" customFormat="1" ht="15.75" customHeight="1" spans="1:12">
      <c r="A30" s="28" t="s">
        <v>92</v>
      </c>
      <c r="B30" s="31" t="s">
        <v>93</v>
      </c>
      <c r="C30" s="31"/>
      <c r="D30" s="31"/>
      <c r="E30" s="31"/>
      <c r="F30" s="31"/>
      <c r="G30" s="31"/>
      <c r="H30" s="41"/>
      <c r="I30" s="55">
        <v>0</v>
      </c>
      <c r="J30" s="97"/>
      <c r="K30" s="108" t="s">
        <v>94</v>
      </c>
      <c r="L30" s="109">
        <f>H119</f>
        <v>0.076</v>
      </c>
    </row>
    <row r="31" customFormat="1" ht="15.75" customHeight="1" spans="1:12">
      <c r="A31" s="30" t="s">
        <v>95</v>
      </c>
      <c r="B31" s="30"/>
      <c r="C31" s="30"/>
      <c r="D31" s="30"/>
      <c r="E31" s="30"/>
      <c r="F31" s="30"/>
      <c r="G31" s="30"/>
      <c r="H31" s="30"/>
      <c r="I31" s="57">
        <f>SUM(I25:I30)</f>
        <v>1879.18</v>
      </c>
      <c r="J31" s="125">
        <f>SUM(I25:I30)-(I25*6%)</f>
        <v>1766.4292</v>
      </c>
      <c r="K31" s="116" t="s">
        <v>69</v>
      </c>
      <c r="L31" s="117">
        <f>L19</f>
        <v>5587.51666666667</v>
      </c>
    </row>
    <row r="32" customFormat="1" ht="15.75" customHeight="1" spans="1:12">
      <c r="A32" s="44"/>
      <c r="B32" s="44"/>
      <c r="C32" s="44"/>
      <c r="D32" s="44"/>
      <c r="E32" s="44"/>
      <c r="F32" s="44"/>
      <c r="G32" s="44"/>
      <c r="H32" s="44"/>
      <c r="I32" s="44"/>
      <c r="J32" s="126"/>
      <c r="K32" s="118" t="s">
        <v>75</v>
      </c>
      <c r="L32" s="119">
        <f>L31*L30</f>
        <v>424.651266666667</v>
      </c>
    </row>
    <row r="33" customFormat="1" ht="15.75" customHeight="1" spans="1:12">
      <c r="A33" s="30" t="s">
        <v>96</v>
      </c>
      <c r="B33" s="30"/>
      <c r="C33" s="30"/>
      <c r="D33" s="30"/>
      <c r="E33" s="30"/>
      <c r="F33" s="30"/>
      <c r="G33" s="30"/>
      <c r="H33" s="30"/>
      <c r="I33" s="30"/>
      <c r="J33" s="126"/>
      <c r="K33" s="108" t="s">
        <v>97</v>
      </c>
      <c r="L33" s="109">
        <f>H118</f>
        <v>0.0165</v>
      </c>
    </row>
    <row r="34" customFormat="1" ht="15.75" customHeight="1" spans="1:12">
      <c r="A34" s="30" t="s">
        <v>98</v>
      </c>
      <c r="B34" s="30"/>
      <c r="C34" s="30"/>
      <c r="D34" s="30"/>
      <c r="E34" s="30"/>
      <c r="F34" s="30"/>
      <c r="G34" s="30"/>
      <c r="H34" s="30" t="s">
        <v>80</v>
      </c>
      <c r="I34" s="30" t="s">
        <v>81</v>
      </c>
      <c r="J34" s="127"/>
      <c r="K34" s="116" t="s">
        <v>69</v>
      </c>
      <c r="L34" s="117">
        <f>L19</f>
        <v>5587.51666666667</v>
      </c>
    </row>
    <row r="35" customFormat="1" ht="15.75" customHeight="1" spans="1:12">
      <c r="A35" s="28" t="s">
        <v>38</v>
      </c>
      <c r="B35" s="31" t="s">
        <v>99</v>
      </c>
      <c r="C35" s="31"/>
      <c r="D35" s="31"/>
      <c r="E35" s="31"/>
      <c r="F35" s="31"/>
      <c r="G35" s="31"/>
      <c r="H35" s="41">
        <f>ROUND(1/12,4)</f>
        <v>0.0833</v>
      </c>
      <c r="I35" s="86">
        <f>ROUND(I31*H35,2)</f>
        <v>156.54</v>
      </c>
      <c r="J35" s="125">
        <f>I35+(I35*$H$50)</f>
        <v>218.84292</v>
      </c>
      <c r="K35" s="118" t="s">
        <v>75</v>
      </c>
      <c r="L35" s="119">
        <f>L34*L33</f>
        <v>92.194025</v>
      </c>
    </row>
    <row r="36" customFormat="1" ht="15.75" customHeight="1" spans="1:12">
      <c r="A36" s="28" t="s">
        <v>41</v>
      </c>
      <c r="B36" s="31" t="s">
        <v>100</v>
      </c>
      <c r="C36" s="31"/>
      <c r="D36" s="31"/>
      <c r="E36" s="31"/>
      <c r="F36" s="31"/>
      <c r="G36" s="31"/>
      <c r="H36" s="43">
        <v>0.121</v>
      </c>
      <c r="I36" s="86">
        <f>ROUND(I31*H36,2)</f>
        <v>227.38</v>
      </c>
      <c r="J36" s="125">
        <f>I36+(I36*$H$50)</f>
        <v>317.87724</v>
      </c>
      <c r="K36" s="108" t="s">
        <v>101</v>
      </c>
      <c r="L36" s="109">
        <f>H120</f>
        <v>0.05</v>
      </c>
    </row>
    <row r="37" customFormat="1" ht="15.75" customHeight="1" spans="1:12">
      <c r="A37" s="30" t="s">
        <v>102</v>
      </c>
      <c r="B37" s="30"/>
      <c r="C37" s="30"/>
      <c r="D37" s="30"/>
      <c r="E37" s="30"/>
      <c r="F37" s="30"/>
      <c r="G37" s="30"/>
      <c r="H37" s="45">
        <f>SUM(H35:H36)</f>
        <v>0.2043</v>
      </c>
      <c r="I37" s="57">
        <f>SUM(I35:I36)</f>
        <v>383.92</v>
      </c>
      <c r="J37" s="128"/>
      <c r="K37" s="116" t="s">
        <v>69</v>
      </c>
      <c r="L37" s="117">
        <f>L19</f>
        <v>5587.51666666667</v>
      </c>
    </row>
    <row r="38" customFormat="1" ht="15.75" customHeight="1" spans="1:12">
      <c r="A38" s="46" t="s">
        <v>103</v>
      </c>
      <c r="B38" s="46"/>
      <c r="C38" s="46"/>
      <c r="D38" s="46"/>
      <c r="E38" s="46"/>
      <c r="F38" s="46"/>
      <c r="G38" s="47" t="s">
        <v>104</v>
      </c>
      <c r="H38" s="47"/>
      <c r="I38" s="58">
        <f>I31</f>
        <v>1879.18</v>
      </c>
      <c r="J38" s="129"/>
      <c r="K38" s="118" t="s">
        <v>75</v>
      </c>
      <c r="L38" s="119">
        <f>L37*L36</f>
        <v>279.375833333333</v>
      </c>
    </row>
    <row r="39" customFormat="1" ht="15.75" customHeight="1" spans="1:12">
      <c r="A39" s="46"/>
      <c r="B39" s="46"/>
      <c r="C39" s="46"/>
      <c r="D39" s="46"/>
      <c r="E39" s="46"/>
      <c r="F39" s="46"/>
      <c r="G39" s="47" t="s">
        <v>105</v>
      </c>
      <c r="H39" s="47"/>
      <c r="I39" s="58">
        <f>I37</f>
        <v>383.92</v>
      </c>
      <c r="J39" s="130"/>
      <c r="K39" s="131" t="s">
        <v>106</v>
      </c>
      <c r="L39" s="132">
        <f>L21+L26+L29+L32+L35+L38</f>
        <v>1469.15529166667</v>
      </c>
    </row>
    <row r="40" customFormat="1" ht="15.75" customHeight="1" spans="1:12">
      <c r="A40" s="46"/>
      <c r="B40" s="46"/>
      <c r="C40" s="46"/>
      <c r="D40" s="46"/>
      <c r="E40" s="46"/>
      <c r="F40" s="46"/>
      <c r="G40" s="48" t="s">
        <v>107</v>
      </c>
      <c r="H40" s="48"/>
      <c r="I40" s="59">
        <f>SUM(I38:I39)</f>
        <v>2263.1</v>
      </c>
      <c r="J40" s="129"/>
      <c r="K40" s="133"/>
      <c r="L40" s="133"/>
    </row>
    <row r="41" customFormat="1" ht="15.75" customHeight="1" spans="1:12">
      <c r="A41" s="30" t="s">
        <v>108</v>
      </c>
      <c r="B41" s="30"/>
      <c r="C41" s="30"/>
      <c r="D41" s="30"/>
      <c r="E41" s="30"/>
      <c r="F41" s="30"/>
      <c r="G41" s="30"/>
      <c r="H41" s="30" t="s">
        <v>80</v>
      </c>
      <c r="I41" s="30" t="s">
        <v>81</v>
      </c>
      <c r="J41" s="129"/>
      <c r="K41" s="134" t="s">
        <v>109</v>
      </c>
      <c r="L41" s="135"/>
    </row>
    <row r="42" customFormat="1" ht="15.75" customHeight="1" spans="1:12">
      <c r="A42" s="28" t="s">
        <v>38</v>
      </c>
      <c r="B42" s="31" t="s">
        <v>110</v>
      </c>
      <c r="C42" s="31"/>
      <c r="D42" s="31"/>
      <c r="E42" s="31"/>
      <c r="F42" s="31"/>
      <c r="G42" s="31"/>
      <c r="H42" s="41">
        <v>0.2</v>
      </c>
      <c r="I42" s="86">
        <f t="shared" ref="I42:I49" si="0">ROUND($I$40*H42,2)</f>
        <v>452.62</v>
      </c>
      <c r="J42" s="136" t="s">
        <v>111</v>
      </c>
      <c r="K42" s="137" t="s">
        <v>112</v>
      </c>
      <c r="L42" s="138"/>
    </row>
    <row r="43" customFormat="1" ht="15.75" customHeight="1" spans="1:12">
      <c r="A43" s="28" t="s">
        <v>41</v>
      </c>
      <c r="B43" s="31" t="s">
        <v>113</v>
      </c>
      <c r="C43" s="31"/>
      <c r="D43" s="31"/>
      <c r="E43" s="31"/>
      <c r="F43" s="31"/>
      <c r="G43" s="31"/>
      <c r="H43" s="41">
        <v>0.025</v>
      </c>
      <c r="I43" s="86">
        <f t="shared" si="0"/>
        <v>56.58</v>
      </c>
      <c r="J43" s="125">
        <f t="shared" ref="J43:J49" si="1">$I$31*H43</f>
        <v>46.9795</v>
      </c>
      <c r="K43" s="139" t="s">
        <v>112</v>
      </c>
      <c r="L43" s="140">
        <f>L10+L39</f>
        <v>4784.79149166667</v>
      </c>
    </row>
    <row r="44" customFormat="1" ht="15.75" customHeight="1" spans="1:12">
      <c r="A44" s="28" t="s">
        <v>45</v>
      </c>
      <c r="B44" s="31" t="s">
        <v>114</v>
      </c>
      <c r="C44" s="31"/>
      <c r="D44" s="31"/>
      <c r="E44" s="31"/>
      <c r="F44" s="31"/>
      <c r="G44" s="31"/>
      <c r="H44" s="41">
        <v>0.06</v>
      </c>
      <c r="I44" s="86">
        <f t="shared" si="0"/>
        <v>135.79</v>
      </c>
      <c r="J44" s="136" t="s">
        <v>111</v>
      </c>
      <c r="K44" s="105"/>
      <c r="L44" s="141"/>
    </row>
    <row r="45" customFormat="1" ht="15.75" customHeight="1" spans="1:12">
      <c r="A45" s="28" t="s">
        <v>49</v>
      </c>
      <c r="B45" s="31" t="s">
        <v>115</v>
      </c>
      <c r="C45" s="31"/>
      <c r="D45" s="31"/>
      <c r="E45" s="31"/>
      <c r="F45" s="31"/>
      <c r="G45" s="31"/>
      <c r="H45" s="41">
        <v>0.015</v>
      </c>
      <c r="I45" s="86">
        <f t="shared" si="0"/>
        <v>33.95</v>
      </c>
      <c r="J45" s="125">
        <f t="shared" si="1"/>
        <v>28.1877</v>
      </c>
      <c r="K45" s="105"/>
      <c r="L45" s="141"/>
    </row>
    <row r="46" customFormat="1" ht="15.75" customHeight="1" spans="1:12">
      <c r="A46" s="28" t="s">
        <v>90</v>
      </c>
      <c r="B46" s="31" t="s">
        <v>116</v>
      </c>
      <c r="C46" s="31"/>
      <c r="D46" s="31"/>
      <c r="E46" s="31"/>
      <c r="F46" s="31"/>
      <c r="G46" s="31"/>
      <c r="H46" s="41">
        <v>0.01</v>
      </c>
      <c r="I46" s="86">
        <f t="shared" si="0"/>
        <v>22.63</v>
      </c>
      <c r="J46" s="125">
        <f t="shared" si="1"/>
        <v>18.7918</v>
      </c>
      <c r="K46" s="105"/>
      <c r="L46" s="141"/>
    </row>
    <row r="47" customFormat="1" ht="15.75" customHeight="1" spans="1:12">
      <c r="A47" s="28" t="s">
        <v>92</v>
      </c>
      <c r="B47" s="31" t="s">
        <v>117</v>
      </c>
      <c r="C47" s="31"/>
      <c r="D47" s="31"/>
      <c r="E47" s="31"/>
      <c r="F47" s="31"/>
      <c r="G47" s="31"/>
      <c r="H47" s="41">
        <v>0.006</v>
      </c>
      <c r="I47" s="86">
        <f t="shared" si="0"/>
        <v>13.58</v>
      </c>
      <c r="J47" s="125">
        <f t="shared" si="1"/>
        <v>11.27508</v>
      </c>
      <c r="K47" s="105"/>
      <c r="L47" s="141"/>
    </row>
    <row r="48" customFormat="1" ht="15.75" customHeight="1" spans="1:12">
      <c r="A48" s="28" t="s">
        <v>118</v>
      </c>
      <c r="B48" s="31" t="s">
        <v>119</v>
      </c>
      <c r="C48" s="31"/>
      <c r="D48" s="31"/>
      <c r="E48" s="31"/>
      <c r="F48" s="31"/>
      <c r="G48" s="31"/>
      <c r="H48" s="41">
        <v>0.002</v>
      </c>
      <c r="I48" s="86">
        <f t="shared" si="0"/>
        <v>4.53</v>
      </c>
      <c r="J48" s="125">
        <f t="shared" si="1"/>
        <v>3.75836</v>
      </c>
      <c r="K48" s="105"/>
      <c r="L48" s="141"/>
    </row>
    <row r="49" customFormat="1" ht="15.75" customHeight="1" spans="1:12">
      <c r="A49" s="28" t="s">
        <v>120</v>
      </c>
      <c r="B49" s="31" t="s">
        <v>121</v>
      </c>
      <c r="C49" s="31"/>
      <c r="D49" s="31"/>
      <c r="E49" s="31"/>
      <c r="F49" s="31"/>
      <c r="G49" s="31"/>
      <c r="H49" s="41">
        <v>0.08</v>
      </c>
      <c r="I49" s="86">
        <f t="shared" si="0"/>
        <v>181.05</v>
      </c>
      <c r="J49" s="125">
        <f t="shared" si="1"/>
        <v>150.3344</v>
      </c>
      <c r="K49" s="142" t="s">
        <v>122</v>
      </c>
      <c r="L49" s="143"/>
    </row>
    <row r="50" customFormat="1" ht="15.75" customHeight="1" spans="1:12">
      <c r="A50" s="30" t="s">
        <v>123</v>
      </c>
      <c r="B50" s="30"/>
      <c r="C50" s="30"/>
      <c r="D50" s="30"/>
      <c r="E50" s="30"/>
      <c r="F50" s="30"/>
      <c r="G50" s="30"/>
      <c r="H50" s="45">
        <f>SUM(H42:H49)</f>
        <v>0.398</v>
      </c>
      <c r="I50" s="57">
        <f>SUM(I42:I49)</f>
        <v>900.73</v>
      </c>
      <c r="J50" s="130"/>
      <c r="K50" s="144" t="s">
        <v>124</v>
      </c>
      <c r="L50" s="145"/>
    </row>
    <row r="51" customFormat="1" ht="15.75" customHeight="1" spans="1:12">
      <c r="A51" s="49"/>
      <c r="B51" s="49"/>
      <c r="C51" s="49"/>
      <c r="D51" s="49"/>
      <c r="E51" s="49"/>
      <c r="F51" s="49"/>
      <c r="G51" s="49"/>
      <c r="H51" s="49"/>
      <c r="I51" s="49"/>
      <c r="J51" s="130"/>
      <c r="K51" s="146" t="s">
        <v>125</v>
      </c>
      <c r="L51" s="147">
        <v>5</v>
      </c>
    </row>
    <row r="52" customFormat="1" ht="15.75" customHeight="1" spans="1:12">
      <c r="A52" s="30" t="s">
        <v>126</v>
      </c>
      <c r="B52" s="30"/>
      <c r="C52" s="30"/>
      <c r="D52" s="30"/>
      <c r="E52" s="30"/>
      <c r="F52" s="30"/>
      <c r="G52" s="30"/>
      <c r="H52" s="45"/>
      <c r="I52" s="30" t="s">
        <v>81</v>
      </c>
      <c r="J52" s="130"/>
      <c r="K52" s="148" t="s">
        <v>127</v>
      </c>
      <c r="L52" s="149">
        <f>L43</f>
        <v>4784.79149166667</v>
      </c>
    </row>
    <row r="53" customFormat="1" ht="15.75" customHeight="1" spans="1:12">
      <c r="A53" s="28" t="s">
        <v>38</v>
      </c>
      <c r="B53" s="39" t="s">
        <v>128</v>
      </c>
      <c r="C53" s="39"/>
      <c r="D53" s="39"/>
      <c r="E53" s="39"/>
      <c r="F53" s="39"/>
      <c r="G53" s="39"/>
      <c r="H53" s="50">
        <v>5</v>
      </c>
      <c r="I53" s="55">
        <f>ROUND((H53*2*22)-0.06*I25,2)</f>
        <v>107.25</v>
      </c>
      <c r="J53" s="125">
        <f t="shared" ref="J53:J56" si="2">I53</f>
        <v>107.25</v>
      </c>
      <c r="K53" s="150"/>
      <c r="L53" s="151"/>
    </row>
    <row r="54" customFormat="1" ht="15.75" customHeight="1" spans="1:12">
      <c r="A54" s="28" t="s">
        <v>41</v>
      </c>
      <c r="B54" s="39" t="s">
        <v>129</v>
      </c>
      <c r="C54" s="39"/>
      <c r="D54" s="39"/>
      <c r="E54" s="39"/>
      <c r="F54" s="39"/>
      <c r="G54" s="39"/>
      <c r="H54" s="29" t="s">
        <v>130</v>
      </c>
      <c r="I54" s="55">
        <v>440.77</v>
      </c>
      <c r="J54" s="125">
        <f t="shared" si="2"/>
        <v>440.77</v>
      </c>
      <c r="K54" s="152"/>
      <c r="L54" s="153"/>
    </row>
    <row r="55" customFormat="1" ht="15.75" customHeight="1" spans="1:12">
      <c r="A55" s="28" t="s">
        <v>45</v>
      </c>
      <c r="B55" s="39" t="s">
        <v>131</v>
      </c>
      <c r="C55" s="39"/>
      <c r="D55" s="39"/>
      <c r="E55" s="39"/>
      <c r="F55" s="39"/>
      <c r="G55" s="39"/>
      <c r="H55" s="29" t="s">
        <v>130</v>
      </c>
      <c r="I55" s="56">
        <v>46.35</v>
      </c>
      <c r="J55" s="125">
        <f t="shared" si="2"/>
        <v>46.35</v>
      </c>
      <c r="K55" s="154" t="s">
        <v>132</v>
      </c>
      <c r="L55" s="155">
        <f>I141</f>
        <v>5587.51666666667</v>
      </c>
    </row>
    <row r="56" customFormat="1" ht="15.75" customHeight="1" spans="1:12">
      <c r="A56" s="28" t="s">
        <v>49</v>
      </c>
      <c r="B56" s="39" t="s">
        <v>133</v>
      </c>
      <c r="C56" s="39"/>
      <c r="D56" s="39"/>
      <c r="E56" s="39"/>
      <c r="F56" s="39"/>
      <c r="G56" s="39"/>
      <c r="H56" s="29" t="s">
        <v>130</v>
      </c>
      <c r="I56" s="56">
        <f>ROUND((I25*26)*0.002/12,2)</f>
        <v>8.14</v>
      </c>
      <c r="J56" s="125">
        <f t="shared" si="2"/>
        <v>8.14</v>
      </c>
      <c r="K56" s="156" t="s">
        <v>134</v>
      </c>
      <c r="L56" s="149">
        <f>L43</f>
        <v>4784.79149166667</v>
      </c>
    </row>
    <row r="57" customFormat="1" ht="15.75" customHeight="1" spans="1:12">
      <c r="A57" s="30" t="s">
        <v>135</v>
      </c>
      <c r="B57" s="30"/>
      <c r="C57" s="30"/>
      <c r="D57" s="30"/>
      <c r="E57" s="30"/>
      <c r="F57" s="30"/>
      <c r="G57" s="30"/>
      <c r="H57" s="30"/>
      <c r="I57" s="61">
        <f>SUM(I53:I56)</f>
        <v>602.51</v>
      </c>
      <c r="J57" s="128"/>
      <c r="K57" s="157" t="s">
        <v>136</v>
      </c>
      <c r="L57" s="158">
        <f>L55-L56</f>
        <v>802.725175</v>
      </c>
    </row>
    <row r="58" customFormat="1" ht="15.75" customHeight="1" spans="1:12">
      <c r="A58" s="49"/>
      <c r="B58" s="49"/>
      <c r="C58" s="49"/>
      <c r="D58" s="49"/>
      <c r="E58" s="49"/>
      <c r="F58" s="49"/>
      <c r="G58" s="49"/>
      <c r="H58" s="49"/>
      <c r="I58" s="49"/>
      <c r="J58" s="128"/>
      <c r="K58" s="159" t="s">
        <v>137</v>
      </c>
      <c r="L58" s="160">
        <f>SUM(I70:I73,I98,I106,I115)</f>
        <v>438.736666666667</v>
      </c>
    </row>
    <row r="59" customFormat="1" ht="15.75" customHeight="1" spans="1:12">
      <c r="A59" s="30" t="s">
        <v>138</v>
      </c>
      <c r="B59" s="30"/>
      <c r="C59" s="30"/>
      <c r="D59" s="30"/>
      <c r="E59" s="30"/>
      <c r="F59" s="30"/>
      <c r="G59" s="30"/>
      <c r="H59" s="30"/>
      <c r="I59" s="30"/>
      <c r="J59" s="128"/>
      <c r="K59" s="159" t="s">
        <v>139</v>
      </c>
      <c r="L59" s="161">
        <f>L57-L58</f>
        <v>363.988508333334</v>
      </c>
    </row>
    <row r="60" customFormat="1" ht="15.75" customHeight="1" spans="1:12">
      <c r="A60" s="30" t="s">
        <v>140</v>
      </c>
      <c r="B60" s="30"/>
      <c r="C60" s="30"/>
      <c r="D60" s="30"/>
      <c r="E60" s="30"/>
      <c r="F60" s="30"/>
      <c r="G60" s="30"/>
      <c r="H60" s="30"/>
      <c r="I60" s="30" t="s">
        <v>81</v>
      </c>
      <c r="J60" s="128"/>
      <c r="K60" s="162" t="s">
        <v>141</v>
      </c>
      <c r="L60" s="163">
        <f>ROUND(L59*L51,2)</f>
        <v>1819.94</v>
      </c>
    </row>
    <row r="61" customFormat="1" ht="15.75" customHeight="1" spans="1:12">
      <c r="A61" s="28" t="s">
        <v>142</v>
      </c>
      <c r="B61" s="29" t="s">
        <v>143</v>
      </c>
      <c r="C61" s="29"/>
      <c r="D61" s="29"/>
      <c r="E61" s="29"/>
      <c r="F61" s="29"/>
      <c r="G61" s="29"/>
      <c r="H61" s="29"/>
      <c r="I61" s="86">
        <f>I37</f>
        <v>383.92</v>
      </c>
      <c r="J61" s="128"/>
      <c r="K61" s="162" t="s">
        <v>144</v>
      </c>
      <c r="L61" s="163">
        <f>ROUND((L59*12)*L51,2)</f>
        <v>21839.31</v>
      </c>
    </row>
    <row r="62" customFormat="1" ht="15.75" customHeight="1" spans="1:14">
      <c r="A62" s="28" t="s">
        <v>145</v>
      </c>
      <c r="B62" s="29" t="s">
        <v>146</v>
      </c>
      <c r="C62" s="29"/>
      <c r="D62" s="29"/>
      <c r="E62" s="29"/>
      <c r="F62" s="29"/>
      <c r="G62" s="29"/>
      <c r="H62" s="29"/>
      <c r="I62" s="86">
        <f>I50</f>
        <v>900.73</v>
      </c>
      <c r="J62" s="128"/>
      <c r="K62" s="164" t="s">
        <v>147</v>
      </c>
      <c r="L62" s="165"/>
      <c r="N62" s="62"/>
    </row>
    <row r="63" customFormat="1" ht="15.75" customHeight="1" spans="1:12">
      <c r="A63" s="28" t="s">
        <v>148</v>
      </c>
      <c r="B63" s="29" t="s">
        <v>149</v>
      </c>
      <c r="C63" s="29"/>
      <c r="D63" s="29"/>
      <c r="E63" s="29"/>
      <c r="F63" s="29"/>
      <c r="G63" s="29"/>
      <c r="H63" s="29"/>
      <c r="I63" s="86">
        <f>I57</f>
        <v>602.51</v>
      </c>
      <c r="J63" s="128"/>
      <c r="K63" s="166"/>
      <c r="L63" s="167"/>
    </row>
    <row r="64" customFormat="1" ht="15.75" customHeight="1" spans="1:12">
      <c r="A64" s="30" t="s">
        <v>150</v>
      </c>
      <c r="B64" s="30"/>
      <c r="C64" s="30"/>
      <c r="D64" s="30"/>
      <c r="E64" s="30"/>
      <c r="F64" s="30"/>
      <c r="G64" s="30"/>
      <c r="H64" s="30"/>
      <c r="I64" s="57">
        <f>SUM(I61:I63)</f>
        <v>1887.16</v>
      </c>
      <c r="J64" s="128"/>
      <c r="K64" s="166"/>
      <c r="L64" s="167"/>
    </row>
    <row r="65" customFormat="1" ht="15.75" customHeight="1" spans="1:12">
      <c r="A65" s="63" t="s">
        <v>151</v>
      </c>
      <c r="B65" s="63"/>
      <c r="C65" s="63"/>
      <c r="D65" s="63"/>
      <c r="E65" s="63"/>
      <c r="F65" s="63"/>
      <c r="G65" s="47" t="s">
        <v>104</v>
      </c>
      <c r="H65" s="47"/>
      <c r="I65" s="58">
        <f>I31</f>
        <v>1879.18</v>
      </c>
      <c r="J65" s="128"/>
      <c r="K65" s="166"/>
      <c r="L65" s="167"/>
    </row>
    <row r="66" customFormat="1" ht="15.75" customHeight="1" spans="1:12">
      <c r="A66" s="63"/>
      <c r="B66" s="63"/>
      <c r="C66" s="63"/>
      <c r="D66" s="63"/>
      <c r="E66" s="63"/>
      <c r="F66" s="63"/>
      <c r="G66" s="47" t="s">
        <v>152</v>
      </c>
      <c r="H66" s="47"/>
      <c r="I66" s="58">
        <f>I64</f>
        <v>1887.16</v>
      </c>
      <c r="J66" s="128"/>
      <c r="K66" s="166"/>
      <c r="L66" s="167"/>
    </row>
    <row r="67" customFormat="1" ht="15.75" customHeight="1" spans="1:12">
      <c r="A67" s="63"/>
      <c r="B67" s="63"/>
      <c r="C67" s="63"/>
      <c r="D67" s="63"/>
      <c r="E67" s="63"/>
      <c r="F67" s="63"/>
      <c r="G67" s="48" t="s">
        <v>107</v>
      </c>
      <c r="H67" s="48"/>
      <c r="I67" s="59">
        <f>SUM(I65:I66)</f>
        <v>3766.34</v>
      </c>
      <c r="J67" s="128"/>
      <c r="K67" s="166"/>
      <c r="L67" s="167"/>
    </row>
    <row r="68" customFormat="1" ht="15.75" customHeight="1" spans="1:12">
      <c r="A68" s="30" t="s">
        <v>153</v>
      </c>
      <c r="B68" s="30"/>
      <c r="C68" s="30"/>
      <c r="D68" s="30"/>
      <c r="E68" s="30"/>
      <c r="F68" s="30"/>
      <c r="G68" s="30"/>
      <c r="H68" s="30"/>
      <c r="I68" s="30"/>
      <c r="J68" s="128"/>
      <c r="K68" s="166"/>
      <c r="L68" s="167"/>
    </row>
    <row r="69" customFormat="1" ht="15.75" customHeight="1" spans="1:12">
      <c r="A69" s="28">
        <v>3</v>
      </c>
      <c r="B69" s="30" t="s">
        <v>154</v>
      </c>
      <c r="C69" s="30"/>
      <c r="D69" s="30"/>
      <c r="E69" s="30"/>
      <c r="F69" s="30"/>
      <c r="G69" s="30"/>
      <c r="H69" s="30" t="s">
        <v>80</v>
      </c>
      <c r="I69" s="30" t="s">
        <v>81</v>
      </c>
      <c r="J69" s="128"/>
      <c r="K69" s="166"/>
      <c r="L69" s="167"/>
    </row>
    <row r="70" customFormat="1" ht="15.75" customHeight="1" spans="1:12">
      <c r="A70" s="28" t="s">
        <v>38</v>
      </c>
      <c r="B70" s="31" t="s">
        <v>155</v>
      </c>
      <c r="C70" s="31"/>
      <c r="D70" s="31"/>
      <c r="E70" s="31"/>
      <c r="F70" s="31"/>
      <c r="G70" s="31"/>
      <c r="H70" s="41">
        <f>ROUND(((1/12)*5%),4)</f>
        <v>0.0042</v>
      </c>
      <c r="I70" s="86">
        <f t="shared" ref="I70:I74" si="3">ROUND(H70*$I$67,2)</f>
        <v>15.82</v>
      </c>
      <c r="J70" s="128"/>
      <c r="K70" s="166"/>
      <c r="L70" s="167"/>
    </row>
    <row r="71" customFormat="1" ht="15.75" customHeight="1" spans="1:12">
      <c r="A71" s="28" t="s">
        <v>41</v>
      </c>
      <c r="B71" s="31" t="s">
        <v>156</v>
      </c>
      <c r="C71" s="31"/>
      <c r="D71" s="31"/>
      <c r="E71" s="31"/>
      <c r="F71" s="31"/>
      <c r="G71" s="31"/>
      <c r="H71" s="41">
        <f>TRUNC(H70*H49,4)</f>
        <v>0.0003</v>
      </c>
      <c r="I71" s="86">
        <f t="shared" si="3"/>
        <v>1.13</v>
      </c>
      <c r="J71" s="128"/>
      <c r="K71" s="172"/>
      <c r="L71" s="173"/>
    </row>
    <row r="72" customFormat="1" ht="15.75" customHeight="1" spans="1:12">
      <c r="A72" s="28" t="s">
        <v>45</v>
      </c>
      <c r="B72" s="31" t="s">
        <v>157</v>
      </c>
      <c r="C72" s="31"/>
      <c r="D72" s="31"/>
      <c r="E72" s="31"/>
      <c r="F72" s="31"/>
      <c r="G72" s="31"/>
      <c r="H72" s="41">
        <f>ROUND(((7/30)/12)*95%,4)</f>
        <v>0.0185</v>
      </c>
      <c r="I72" s="86">
        <f t="shared" si="3"/>
        <v>69.68</v>
      </c>
      <c r="J72" s="128"/>
      <c r="K72" s="105"/>
      <c r="L72" s="105"/>
    </row>
    <row r="73" customFormat="1" ht="15.75" customHeight="1" spans="1:12">
      <c r="A73" s="168" t="s">
        <v>49</v>
      </c>
      <c r="B73" s="169" t="s">
        <v>158</v>
      </c>
      <c r="C73" s="169"/>
      <c r="D73" s="169"/>
      <c r="E73" s="169"/>
      <c r="F73" s="169"/>
      <c r="G73" s="169"/>
      <c r="H73" s="41">
        <f>ROUND(H72*H50,4)</f>
        <v>0.0074</v>
      </c>
      <c r="I73" s="86">
        <f t="shared" si="3"/>
        <v>27.87</v>
      </c>
      <c r="J73" s="128"/>
      <c r="K73" s="105"/>
      <c r="L73" s="105"/>
    </row>
    <row r="74" customFormat="1" ht="15.75" customHeight="1" spans="1:12">
      <c r="A74" s="28" t="s">
        <v>90</v>
      </c>
      <c r="B74" s="31" t="s">
        <v>159</v>
      </c>
      <c r="C74" s="31"/>
      <c r="D74" s="31"/>
      <c r="E74" s="31"/>
      <c r="F74" s="31"/>
      <c r="G74" s="31"/>
      <c r="H74" s="41">
        <v>0.04</v>
      </c>
      <c r="I74" s="86">
        <f t="shared" si="3"/>
        <v>150.65</v>
      </c>
      <c r="J74" s="125">
        <f>I74</f>
        <v>150.65</v>
      </c>
      <c r="K74" s="105"/>
      <c r="L74" s="105"/>
    </row>
    <row r="75" customFormat="1" ht="15.75" customHeight="1" spans="1:12">
      <c r="A75" s="30" t="s">
        <v>160</v>
      </c>
      <c r="B75" s="30"/>
      <c r="C75" s="30"/>
      <c r="D75" s="30"/>
      <c r="E75" s="30"/>
      <c r="F75" s="30"/>
      <c r="G75" s="30"/>
      <c r="H75" s="45">
        <f>SUM(H70:H74)</f>
        <v>0.0704</v>
      </c>
      <c r="I75" s="57">
        <f>SUM(I70:I74)</f>
        <v>265.15</v>
      </c>
      <c r="J75" s="128"/>
      <c r="K75" s="174"/>
      <c r="L75" s="105"/>
    </row>
    <row r="76" customFormat="1" ht="15.75" customHeight="1" spans="1:12">
      <c r="A76" s="66" t="s">
        <v>161</v>
      </c>
      <c r="B76" s="66"/>
      <c r="C76" s="66"/>
      <c r="D76" s="66"/>
      <c r="E76" s="66"/>
      <c r="F76" s="66"/>
      <c r="G76" s="47" t="s">
        <v>104</v>
      </c>
      <c r="H76" s="47"/>
      <c r="I76" s="58">
        <f>I31</f>
        <v>1879.18</v>
      </c>
      <c r="J76" s="128"/>
      <c r="K76" s="174"/>
      <c r="L76" s="105"/>
    </row>
    <row r="77" customFormat="1" ht="15.75" customHeight="1" spans="1:12">
      <c r="A77" s="66"/>
      <c r="B77" s="66"/>
      <c r="C77" s="66"/>
      <c r="D77" s="66"/>
      <c r="E77" s="66"/>
      <c r="F77" s="66"/>
      <c r="G77" s="47" t="s">
        <v>152</v>
      </c>
      <c r="H77" s="47"/>
      <c r="I77" s="58">
        <f>I64</f>
        <v>1887.16</v>
      </c>
      <c r="J77" s="128"/>
      <c r="K77" s="174"/>
      <c r="L77" s="105"/>
    </row>
    <row r="78" customFormat="1" ht="15.75" customHeight="1" spans="1:14">
      <c r="A78" s="66"/>
      <c r="B78" s="66"/>
      <c r="C78" s="66"/>
      <c r="D78" s="66"/>
      <c r="E78" s="66"/>
      <c r="F78" s="66"/>
      <c r="G78" s="47" t="s">
        <v>162</v>
      </c>
      <c r="H78" s="47"/>
      <c r="I78" s="58">
        <f>I75</f>
        <v>265.15</v>
      </c>
      <c r="J78" s="128"/>
      <c r="K78" s="174"/>
      <c r="L78" s="105"/>
      <c r="N78" s="85"/>
    </row>
    <row r="79" customFormat="1" ht="15.75" customHeight="1" spans="1:12">
      <c r="A79" s="66"/>
      <c r="B79" s="66"/>
      <c r="C79" s="66"/>
      <c r="D79" s="66"/>
      <c r="E79" s="66"/>
      <c r="F79" s="66"/>
      <c r="G79" s="48" t="s">
        <v>107</v>
      </c>
      <c r="H79" s="48"/>
      <c r="I79" s="59">
        <f>SUM(I76:I78)</f>
        <v>4031.49</v>
      </c>
      <c r="J79" s="128"/>
      <c r="K79" s="174"/>
      <c r="L79" s="105"/>
    </row>
    <row r="80" customFormat="1" ht="15.75" customHeight="1" spans="1:12">
      <c r="A80" s="30" t="s">
        <v>163</v>
      </c>
      <c r="B80" s="30"/>
      <c r="C80" s="30"/>
      <c r="D80" s="30"/>
      <c r="E80" s="30"/>
      <c r="F80" s="30"/>
      <c r="G80" s="30"/>
      <c r="H80" s="30"/>
      <c r="I80" s="30"/>
      <c r="J80" s="126"/>
      <c r="K80" s="174"/>
      <c r="L80" s="105"/>
    </row>
    <row r="81" customFormat="1" ht="15.75" customHeight="1" spans="1:12">
      <c r="A81" s="30" t="s">
        <v>164</v>
      </c>
      <c r="B81" s="30"/>
      <c r="C81" s="30"/>
      <c r="D81" s="30"/>
      <c r="E81" s="30"/>
      <c r="F81" s="30"/>
      <c r="G81" s="30"/>
      <c r="H81" s="30" t="s">
        <v>80</v>
      </c>
      <c r="I81" s="30" t="s">
        <v>81</v>
      </c>
      <c r="J81" s="128"/>
      <c r="K81" s="174"/>
      <c r="L81" s="175"/>
    </row>
    <row r="82" customFormat="1" ht="15.75" customHeight="1" spans="1:12">
      <c r="A82" s="28" t="s">
        <v>38</v>
      </c>
      <c r="B82" s="31" t="s">
        <v>165</v>
      </c>
      <c r="C82" s="31"/>
      <c r="D82" s="31"/>
      <c r="E82" s="31"/>
      <c r="F82" s="31"/>
      <c r="G82" s="31"/>
      <c r="H82" s="41">
        <f>ROUND(((1+1/3)/12)/12,4)</f>
        <v>0.0093</v>
      </c>
      <c r="I82" s="86">
        <f t="shared" ref="I82:I87" si="4">ROUND(H82*$I$79,2)</f>
        <v>37.49</v>
      </c>
      <c r="J82" s="128"/>
      <c r="K82" s="174"/>
      <c r="L82" s="105"/>
    </row>
    <row r="83" customFormat="1" ht="15.75" customHeight="1" spans="1:12">
      <c r="A83" s="28" t="s">
        <v>41</v>
      </c>
      <c r="B83" s="31" t="s">
        <v>166</v>
      </c>
      <c r="C83" s="31"/>
      <c r="D83" s="31"/>
      <c r="E83" s="31"/>
      <c r="F83" s="31"/>
      <c r="G83" s="31"/>
      <c r="H83" s="41">
        <f>ROUND((2/30)/12,4)</f>
        <v>0.0056</v>
      </c>
      <c r="I83" s="86">
        <f t="shared" si="4"/>
        <v>22.58</v>
      </c>
      <c r="J83" s="128"/>
      <c r="K83" s="105"/>
      <c r="L83" s="105"/>
    </row>
    <row r="84" customFormat="1" ht="15.75" customHeight="1" spans="1:12">
      <c r="A84" s="28" t="s">
        <v>45</v>
      </c>
      <c r="B84" s="31" t="s">
        <v>167</v>
      </c>
      <c r="C84" s="31"/>
      <c r="D84" s="31"/>
      <c r="E84" s="31"/>
      <c r="F84" s="31"/>
      <c r="G84" s="31"/>
      <c r="H84" s="41">
        <f>ROUND(((5/30)/12)*2%,4)</f>
        <v>0.0003</v>
      </c>
      <c r="I84" s="86">
        <f t="shared" si="4"/>
        <v>1.21</v>
      </c>
      <c r="J84" s="128"/>
      <c r="K84" s="105"/>
      <c r="L84" s="105"/>
    </row>
    <row r="85" customFormat="1" ht="15.75" customHeight="1" spans="1:12">
      <c r="A85" s="28" t="s">
        <v>49</v>
      </c>
      <c r="B85" s="31" t="s">
        <v>168</v>
      </c>
      <c r="C85" s="31"/>
      <c r="D85" s="31"/>
      <c r="E85" s="31"/>
      <c r="F85" s="31"/>
      <c r="G85" s="31"/>
      <c r="H85" s="41">
        <f>ROUND(((15/30)/12)*8%,4)</f>
        <v>0.0033</v>
      </c>
      <c r="I85" s="86">
        <f t="shared" si="4"/>
        <v>13.3</v>
      </c>
      <c r="J85" s="128"/>
      <c r="K85" s="105"/>
      <c r="L85" s="105"/>
    </row>
    <row r="86" customFormat="1" ht="15.75" customHeight="1" spans="1:12">
      <c r="A86" s="28" t="s">
        <v>90</v>
      </c>
      <c r="B86" s="31" t="s">
        <v>169</v>
      </c>
      <c r="C86" s="31"/>
      <c r="D86" s="31"/>
      <c r="E86" s="31"/>
      <c r="F86" s="31"/>
      <c r="G86" s="31"/>
      <c r="H86" s="41">
        <f>ROUND(((1+1/3)/12*4/12)*2%,4)</f>
        <v>0.0007</v>
      </c>
      <c r="I86" s="86">
        <f t="shared" si="4"/>
        <v>2.82</v>
      </c>
      <c r="J86" s="128"/>
      <c r="K86" s="105"/>
      <c r="L86" s="105"/>
    </row>
    <row r="87" customFormat="1" ht="15.75" customHeight="1" spans="1:12">
      <c r="A87" s="28" t="s">
        <v>92</v>
      </c>
      <c r="B87" s="31" t="s">
        <v>170</v>
      </c>
      <c r="C87" s="31"/>
      <c r="D87" s="31"/>
      <c r="E87" s="31"/>
      <c r="F87" s="31"/>
      <c r="G87" s="31"/>
      <c r="H87" s="41">
        <v>0</v>
      </c>
      <c r="I87" s="86">
        <f t="shared" si="4"/>
        <v>0</v>
      </c>
      <c r="J87" s="128"/>
      <c r="K87" s="105"/>
      <c r="L87" s="105"/>
    </row>
    <row r="88" customFormat="1" ht="15.75" customHeight="1" spans="1:12">
      <c r="A88" s="30" t="s">
        <v>171</v>
      </c>
      <c r="B88" s="30"/>
      <c r="C88" s="30"/>
      <c r="D88" s="30"/>
      <c r="E88" s="30"/>
      <c r="F88" s="30"/>
      <c r="G88" s="30"/>
      <c r="H88" s="45">
        <f>SUM(H82:H87)</f>
        <v>0.0192</v>
      </c>
      <c r="I88" s="57">
        <f>SUM(I82:I87)</f>
        <v>77.4</v>
      </c>
      <c r="J88" s="128"/>
      <c r="K88" s="105"/>
      <c r="L88" s="176"/>
    </row>
    <row r="89" customFormat="1" ht="15.75" customHeight="1" spans="1:12">
      <c r="A89" s="49"/>
      <c r="B89" s="49"/>
      <c r="C89" s="49"/>
      <c r="D89" s="49"/>
      <c r="E89" s="49"/>
      <c r="F89" s="49"/>
      <c r="G89" s="49"/>
      <c r="H89" s="49"/>
      <c r="I89" s="49"/>
      <c r="J89" s="128"/>
      <c r="K89" s="177"/>
      <c r="L89" s="105"/>
    </row>
    <row r="90" customFormat="1" ht="15.75" customHeight="1" spans="1:12">
      <c r="A90" s="42" t="s">
        <v>172</v>
      </c>
      <c r="B90" s="42"/>
      <c r="C90" s="42"/>
      <c r="D90" s="42"/>
      <c r="E90" s="42"/>
      <c r="F90" s="42"/>
      <c r="G90" s="42"/>
      <c r="H90" s="30" t="s">
        <v>80</v>
      </c>
      <c r="I90" s="30" t="s">
        <v>81</v>
      </c>
      <c r="J90" s="128"/>
      <c r="K90" s="105"/>
      <c r="L90" s="105"/>
    </row>
    <row r="91" customFormat="1" ht="15.75" customHeight="1" spans="1:12">
      <c r="A91" s="42" t="s">
        <v>38</v>
      </c>
      <c r="B91" s="36" t="s">
        <v>173</v>
      </c>
      <c r="C91" s="36"/>
      <c r="D91" s="36"/>
      <c r="E91" s="36"/>
      <c r="F91" s="36"/>
      <c r="G91" s="36"/>
      <c r="H91" s="41">
        <v>0</v>
      </c>
      <c r="I91" s="86">
        <f>I31*H91</f>
        <v>0</v>
      </c>
      <c r="J91" s="128"/>
      <c r="K91" s="105"/>
      <c r="L91" s="105"/>
    </row>
    <row r="92" customFormat="1" ht="15.75" customHeight="1" spans="1:12">
      <c r="A92" s="30" t="s">
        <v>174</v>
      </c>
      <c r="B92" s="30"/>
      <c r="C92" s="30"/>
      <c r="D92" s="30"/>
      <c r="E92" s="30"/>
      <c r="F92" s="30"/>
      <c r="G92" s="30"/>
      <c r="H92" s="45">
        <f>H91</f>
        <v>0</v>
      </c>
      <c r="I92" s="57">
        <f>I91</f>
        <v>0</v>
      </c>
      <c r="J92" s="128"/>
      <c r="K92" s="178"/>
      <c r="L92" s="105"/>
    </row>
    <row r="93" customFormat="1" ht="15.75" customHeight="1" spans="1:12">
      <c r="A93" s="49"/>
      <c r="B93" s="49"/>
      <c r="C93" s="49"/>
      <c r="D93" s="49"/>
      <c r="E93" s="49"/>
      <c r="F93" s="49"/>
      <c r="G93" s="49"/>
      <c r="H93" s="49"/>
      <c r="I93" s="49"/>
      <c r="J93" s="128"/>
      <c r="K93" s="105"/>
      <c r="L93" s="105"/>
    </row>
    <row r="94" customFormat="1" ht="15.75" customHeight="1" spans="1:12">
      <c r="A94" s="30" t="s">
        <v>175</v>
      </c>
      <c r="B94" s="30"/>
      <c r="C94" s="30"/>
      <c r="D94" s="30"/>
      <c r="E94" s="30"/>
      <c r="F94" s="30"/>
      <c r="G94" s="30"/>
      <c r="H94" s="30"/>
      <c r="I94" s="30"/>
      <c r="J94" s="128"/>
      <c r="K94" s="105"/>
      <c r="L94" s="105"/>
    </row>
    <row r="95" customFormat="1" ht="15.75" customHeight="1" spans="1:12">
      <c r="A95" s="30" t="s">
        <v>176</v>
      </c>
      <c r="B95" s="30"/>
      <c r="C95" s="30"/>
      <c r="D95" s="30"/>
      <c r="E95" s="30"/>
      <c r="F95" s="30"/>
      <c r="G95" s="30"/>
      <c r="H95" s="30"/>
      <c r="I95" s="30" t="s">
        <v>81</v>
      </c>
      <c r="J95" s="128"/>
      <c r="K95" s="105"/>
      <c r="L95" s="105"/>
    </row>
    <row r="96" customFormat="1" ht="15.75" customHeight="1" spans="1:12">
      <c r="A96" s="28" t="s">
        <v>177</v>
      </c>
      <c r="B96" s="29" t="s">
        <v>178</v>
      </c>
      <c r="C96" s="29"/>
      <c r="D96" s="29"/>
      <c r="E96" s="29"/>
      <c r="F96" s="29"/>
      <c r="G96" s="29"/>
      <c r="H96" s="29"/>
      <c r="I96" s="86">
        <f>I88</f>
        <v>77.4</v>
      </c>
      <c r="J96" s="128"/>
      <c r="K96" s="105"/>
      <c r="L96" s="105"/>
    </row>
    <row r="97" customFormat="1" ht="15.75" customHeight="1" spans="1:12">
      <c r="A97" s="28" t="s">
        <v>179</v>
      </c>
      <c r="B97" s="35" t="s">
        <v>180</v>
      </c>
      <c r="C97" s="35"/>
      <c r="D97" s="35"/>
      <c r="E97" s="35"/>
      <c r="F97" s="35"/>
      <c r="G97" s="35"/>
      <c r="H97" s="35"/>
      <c r="I97" s="86">
        <f>I92</f>
        <v>0</v>
      </c>
      <c r="J97" s="128"/>
      <c r="K97" s="105"/>
      <c r="L97" s="105"/>
    </row>
    <row r="98" customFormat="1" ht="15.75" customHeight="1" spans="1:12">
      <c r="A98" s="30" t="s">
        <v>181</v>
      </c>
      <c r="B98" s="30"/>
      <c r="C98" s="30"/>
      <c r="D98" s="30"/>
      <c r="E98" s="30"/>
      <c r="F98" s="30"/>
      <c r="G98" s="30"/>
      <c r="H98" s="30"/>
      <c r="I98" s="57">
        <f>SUM(I96:I97)</f>
        <v>77.4</v>
      </c>
      <c r="J98" s="128"/>
      <c r="K98" s="105"/>
      <c r="L98" s="105"/>
    </row>
    <row r="99" customFormat="1" ht="15.75" customHeight="1" spans="1:12">
      <c r="A99" s="49"/>
      <c r="B99" s="49"/>
      <c r="C99" s="49"/>
      <c r="D99" s="49"/>
      <c r="E99" s="49"/>
      <c r="F99" s="49"/>
      <c r="G99" s="49"/>
      <c r="H99" s="49"/>
      <c r="I99" s="49"/>
      <c r="J99" s="128"/>
      <c r="K99" s="105"/>
      <c r="L99" s="105"/>
    </row>
    <row r="100" customFormat="1" ht="15.75" customHeight="1" spans="1:12">
      <c r="A100" s="30" t="s">
        <v>182</v>
      </c>
      <c r="B100" s="30"/>
      <c r="C100" s="30"/>
      <c r="D100" s="30"/>
      <c r="E100" s="30"/>
      <c r="F100" s="30"/>
      <c r="G100" s="30"/>
      <c r="H100" s="30"/>
      <c r="I100" s="30"/>
      <c r="J100" s="128"/>
      <c r="K100" s="105"/>
      <c r="L100" s="105"/>
    </row>
    <row r="101" customFormat="1" ht="15.75" customHeight="1" spans="1:12">
      <c r="A101" s="30">
        <v>5</v>
      </c>
      <c r="B101" s="30" t="s">
        <v>183</v>
      </c>
      <c r="C101" s="30"/>
      <c r="D101" s="30"/>
      <c r="E101" s="30"/>
      <c r="F101" s="30"/>
      <c r="G101" s="30"/>
      <c r="H101" s="30"/>
      <c r="I101" s="30" t="s">
        <v>81</v>
      </c>
      <c r="J101" s="128"/>
      <c r="K101" s="105"/>
      <c r="L101" s="105"/>
    </row>
    <row r="102" customFormat="1" ht="15.75" customHeight="1" spans="1:12">
      <c r="A102" s="67" t="s">
        <v>38</v>
      </c>
      <c r="B102" s="39" t="s">
        <v>184</v>
      </c>
      <c r="C102" s="39"/>
      <c r="D102" s="39"/>
      <c r="E102" s="39"/>
      <c r="F102" s="39"/>
      <c r="G102" s="39"/>
      <c r="H102" s="68" t="s">
        <v>130</v>
      </c>
      <c r="I102" s="86">
        <v>0</v>
      </c>
      <c r="J102" s="128"/>
      <c r="K102" s="105"/>
      <c r="L102" s="105"/>
    </row>
    <row r="103" customFormat="1" ht="15.75" customHeight="1" spans="1:12">
      <c r="A103" s="67" t="s">
        <v>41</v>
      </c>
      <c r="B103" s="39" t="s">
        <v>185</v>
      </c>
      <c r="C103" s="39"/>
      <c r="D103" s="39"/>
      <c r="E103" s="39"/>
      <c r="F103" s="39"/>
      <c r="G103" s="39"/>
      <c r="H103" s="68" t="s">
        <v>130</v>
      </c>
      <c r="I103" s="179">
        <v>0</v>
      </c>
      <c r="J103" s="128"/>
      <c r="K103" s="105"/>
      <c r="L103" s="105"/>
    </row>
    <row r="104" customFormat="1" ht="15.75" customHeight="1" spans="1:12">
      <c r="A104" s="67" t="s">
        <v>45</v>
      </c>
      <c r="B104" s="39" t="s">
        <v>186</v>
      </c>
      <c r="C104" s="39"/>
      <c r="D104" s="39"/>
      <c r="E104" s="39"/>
      <c r="F104" s="39"/>
      <c r="G104" s="39"/>
      <c r="H104" s="68" t="s">
        <v>130</v>
      </c>
      <c r="I104" s="180">
        <f>UNIFORMES!F15</f>
        <v>39.4166666666667</v>
      </c>
      <c r="J104" s="128"/>
      <c r="K104" s="105"/>
      <c r="L104" s="105"/>
    </row>
    <row r="105" customFormat="1" ht="15.75" customHeight="1" spans="1:12">
      <c r="A105" s="67" t="s">
        <v>49</v>
      </c>
      <c r="B105" s="39" t="s">
        <v>187</v>
      </c>
      <c r="C105" s="39"/>
      <c r="D105" s="39"/>
      <c r="E105" s="39"/>
      <c r="F105" s="39"/>
      <c r="G105" s="39"/>
      <c r="H105" s="69" t="s">
        <v>130</v>
      </c>
      <c r="I105" s="86">
        <v>0</v>
      </c>
      <c r="J105" s="128"/>
      <c r="K105" s="105"/>
      <c r="L105" s="105"/>
    </row>
    <row r="106" customFormat="1" ht="15.75" customHeight="1" spans="1:12">
      <c r="A106" s="30" t="s">
        <v>188</v>
      </c>
      <c r="B106" s="30"/>
      <c r="C106" s="30"/>
      <c r="D106" s="30"/>
      <c r="E106" s="30"/>
      <c r="F106" s="30"/>
      <c r="G106" s="30"/>
      <c r="H106" s="45" t="s">
        <v>130</v>
      </c>
      <c r="I106" s="57">
        <f>SUM(I102:I105)</f>
        <v>39.4166666666667</v>
      </c>
      <c r="J106" s="128"/>
      <c r="K106" s="105"/>
      <c r="L106" s="105"/>
    </row>
    <row r="107" customFormat="1" ht="15.75" customHeight="1" spans="1:12">
      <c r="A107" s="66" t="s">
        <v>189</v>
      </c>
      <c r="B107" s="66"/>
      <c r="C107" s="66"/>
      <c r="D107" s="66"/>
      <c r="E107" s="66"/>
      <c r="F107" s="66"/>
      <c r="G107" s="47" t="s">
        <v>104</v>
      </c>
      <c r="H107" s="47"/>
      <c r="I107" s="58">
        <f>I31</f>
        <v>1879.18</v>
      </c>
      <c r="J107" s="128"/>
      <c r="K107" s="105"/>
      <c r="L107" s="105"/>
    </row>
    <row r="108" customFormat="1" ht="15.75" customHeight="1" spans="1:12">
      <c r="A108" s="66"/>
      <c r="B108" s="66"/>
      <c r="C108" s="66"/>
      <c r="D108" s="66"/>
      <c r="E108" s="66"/>
      <c r="F108" s="66"/>
      <c r="G108" s="47" t="s">
        <v>152</v>
      </c>
      <c r="H108" s="47"/>
      <c r="I108" s="58">
        <f>I64</f>
        <v>1887.16</v>
      </c>
      <c r="J108" s="128"/>
      <c r="K108" s="105"/>
      <c r="L108" s="105"/>
    </row>
    <row r="109" customFormat="1" ht="15.75" customHeight="1" spans="1:12">
      <c r="A109" s="66"/>
      <c r="B109" s="66"/>
      <c r="C109" s="66"/>
      <c r="D109" s="66"/>
      <c r="E109" s="66"/>
      <c r="F109" s="66"/>
      <c r="G109" s="47" t="s">
        <v>162</v>
      </c>
      <c r="H109" s="47"/>
      <c r="I109" s="58">
        <f>I75</f>
        <v>265.15</v>
      </c>
      <c r="J109" s="128"/>
      <c r="K109" s="105"/>
      <c r="L109" s="105"/>
    </row>
    <row r="110" customFormat="1" ht="15.75" customHeight="1" spans="1:12">
      <c r="A110" s="66"/>
      <c r="B110" s="66"/>
      <c r="C110" s="66"/>
      <c r="D110" s="66"/>
      <c r="E110" s="66"/>
      <c r="F110" s="66"/>
      <c r="G110" s="47" t="s">
        <v>190</v>
      </c>
      <c r="H110" s="47"/>
      <c r="I110" s="58">
        <f>I98</f>
        <v>77.4</v>
      </c>
      <c r="J110" s="128"/>
      <c r="K110" s="133"/>
      <c r="L110" s="133"/>
    </row>
    <row r="111" customFormat="1" ht="15.75" customHeight="1" spans="1:12">
      <c r="A111" s="66"/>
      <c r="B111" s="66"/>
      <c r="C111" s="66"/>
      <c r="D111" s="66"/>
      <c r="E111" s="66"/>
      <c r="F111" s="66"/>
      <c r="G111" s="47" t="s">
        <v>191</v>
      </c>
      <c r="H111" s="47"/>
      <c r="I111" s="58">
        <f>I106</f>
        <v>39.4166666666667</v>
      </c>
      <c r="J111" s="128"/>
      <c r="K111" s="133"/>
      <c r="L111" s="133"/>
    </row>
    <row r="112" customFormat="1" ht="15.75" customHeight="1" spans="1:12">
      <c r="A112" s="66"/>
      <c r="B112" s="66"/>
      <c r="C112" s="66"/>
      <c r="D112" s="66"/>
      <c r="E112" s="66"/>
      <c r="F112" s="66"/>
      <c r="G112" s="48" t="s">
        <v>107</v>
      </c>
      <c r="H112" s="48"/>
      <c r="I112" s="59">
        <f>SUM(I107:I111)</f>
        <v>4148.30666666667</v>
      </c>
      <c r="J112" s="128"/>
      <c r="K112" s="105"/>
      <c r="L112" s="105"/>
    </row>
    <row r="113" customFormat="1" ht="15.75" customHeight="1" spans="1:12">
      <c r="A113" s="30" t="s">
        <v>192</v>
      </c>
      <c r="B113" s="30"/>
      <c r="C113" s="30"/>
      <c r="D113" s="30"/>
      <c r="E113" s="30"/>
      <c r="F113" s="30"/>
      <c r="G113" s="30"/>
      <c r="H113" s="30"/>
      <c r="I113" s="30"/>
      <c r="J113" s="128"/>
      <c r="K113" s="105"/>
      <c r="L113" s="105"/>
    </row>
    <row r="114" customFormat="1" ht="15.75" customHeight="1" spans="1:12">
      <c r="A114" s="30">
        <v>6</v>
      </c>
      <c r="B114" s="30" t="s">
        <v>193</v>
      </c>
      <c r="C114" s="30"/>
      <c r="D114" s="30"/>
      <c r="E114" s="30"/>
      <c r="F114" s="30"/>
      <c r="G114" s="30"/>
      <c r="H114" s="30" t="s">
        <v>80</v>
      </c>
      <c r="I114" s="30" t="s">
        <v>81</v>
      </c>
      <c r="J114" s="128"/>
      <c r="K114" s="105"/>
      <c r="L114" s="105"/>
    </row>
    <row r="115" customFormat="1" ht="15.75" customHeight="1" spans="1:12">
      <c r="A115" s="28" t="s">
        <v>38</v>
      </c>
      <c r="B115" s="31" t="s">
        <v>194</v>
      </c>
      <c r="C115" s="31"/>
      <c r="D115" s="31"/>
      <c r="E115" s="31"/>
      <c r="F115" s="31"/>
      <c r="G115" s="31"/>
      <c r="H115" s="170">
        <v>0.05</v>
      </c>
      <c r="I115" s="86">
        <f>ROUND(H115*I112,2)</f>
        <v>207.42</v>
      </c>
      <c r="J115" s="128"/>
      <c r="K115" s="105"/>
      <c r="L115" s="105"/>
    </row>
    <row r="116" customFormat="1" ht="15.75" customHeight="1" spans="1:12">
      <c r="A116" s="28" t="s">
        <v>41</v>
      </c>
      <c r="B116" s="31" t="s">
        <v>195</v>
      </c>
      <c r="C116" s="31"/>
      <c r="D116" s="31"/>
      <c r="E116" s="31"/>
      <c r="F116" s="31"/>
      <c r="G116" s="31"/>
      <c r="H116" s="170">
        <v>0.1</v>
      </c>
      <c r="I116" s="86">
        <f>ROUND(H116*(I112+I115),2)</f>
        <v>435.57</v>
      </c>
      <c r="J116" s="128"/>
      <c r="K116" s="105"/>
      <c r="L116" s="105"/>
    </row>
    <row r="117" customFormat="1" ht="15.75" customHeight="1" spans="1:12">
      <c r="A117" s="28" t="s">
        <v>45</v>
      </c>
      <c r="B117" s="71" t="s">
        <v>196</v>
      </c>
      <c r="C117" s="71"/>
      <c r="D117" s="71"/>
      <c r="E117" s="71"/>
      <c r="F117" s="71"/>
      <c r="G117" s="71"/>
      <c r="H117" s="41"/>
      <c r="I117" s="88"/>
      <c r="J117" s="128"/>
      <c r="K117" s="105"/>
      <c r="L117" s="105"/>
    </row>
    <row r="118" customFormat="1" ht="15.75" customHeight="1" spans="1:12">
      <c r="A118" s="28" t="s">
        <v>197</v>
      </c>
      <c r="B118" s="31" t="s">
        <v>198</v>
      </c>
      <c r="C118" s="31"/>
      <c r="D118" s="31"/>
      <c r="E118" s="31"/>
      <c r="F118" s="31"/>
      <c r="G118" s="31"/>
      <c r="H118" s="170">
        <v>0.0165</v>
      </c>
      <c r="I118" s="86">
        <f t="shared" ref="I118:I120" si="5">ROUND($I$128*H118,2)</f>
        <v>92.19</v>
      </c>
      <c r="J118" s="128"/>
      <c r="K118" s="105"/>
      <c r="L118" s="105"/>
    </row>
    <row r="119" customFormat="1" ht="15.75" customHeight="1" spans="1:12">
      <c r="A119" s="28" t="s">
        <v>199</v>
      </c>
      <c r="B119" s="31" t="s">
        <v>94</v>
      </c>
      <c r="C119" s="31"/>
      <c r="D119" s="31"/>
      <c r="E119" s="31"/>
      <c r="F119" s="31"/>
      <c r="G119" s="31"/>
      <c r="H119" s="171">
        <v>0.076</v>
      </c>
      <c r="I119" s="86">
        <f t="shared" si="5"/>
        <v>424.65</v>
      </c>
      <c r="J119" s="128"/>
      <c r="K119" s="105"/>
      <c r="L119" s="105"/>
    </row>
    <row r="120" customFormat="1" ht="15.75" customHeight="1" spans="1:12">
      <c r="A120" s="28" t="s">
        <v>200</v>
      </c>
      <c r="B120" s="31" t="s">
        <v>201</v>
      </c>
      <c r="C120" s="31"/>
      <c r="D120" s="31"/>
      <c r="E120" s="31"/>
      <c r="F120" s="31"/>
      <c r="G120" s="31"/>
      <c r="H120" s="74">
        <v>0.05</v>
      </c>
      <c r="I120" s="86">
        <f t="shared" si="5"/>
        <v>279.38</v>
      </c>
      <c r="J120" s="128"/>
      <c r="K120" s="105"/>
      <c r="L120" s="105"/>
    </row>
    <row r="121" customFormat="1" ht="15.75" customHeight="1" spans="1:12">
      <c r="A121" s="30" t="s">
        <v>202</v>
      </c>
      <c r="B121" s="30"/>
      <c r="C121" s="30"/>
      <c r="D121" s="30"/>
      <c r="E121" s="30"/>
      <c r="F121" s="30"/>
      <c r="G121" s="30"/>
      <c r="H121" s="75">
        <f>SUM(H115:H120)</f>
        <v>0.2925</v>
      </c>
      <c r="I121" s="57">
        <f>SUM(I115:I120)</f>
        <v>1439.21</v>
      </c>
      <c r="J121" s="128"/>
      <c r="K121" s="105"/>
      <c r="L121" s="105"/>
    </row>
    <row r="122" customFormat="1" ht="15.75" customHeight="1" spans="1:12">
      <c r="A122" s="76"/>
      <c r="B122" s="77"/>
      <c r="C122" s="77"/>
      <c r="D122" s="77"/>
      <c r="E122" s="77"/>
      <c r="F122" s="77"/>
      <c r="G122" s="77"/>
      <c r="H122" s="77"/>
      <c r="I122" s="77"/>
      <c r="J122" s="128"/>
      <c r="K122" s="105"/>
      <c r="L122" s="105"/>
    </row>
    <row r="123" customFormat="1" ht="15.75" customHeight="1" spans="1:12">
      <c r="A123" s="78" t="s">
        <v>203</v>
      </c>
      <c r="B123" s="79" t="s">
        <v>204</v>
      </c>
      <c r="C123" s="79"/>
      <c r="D123" s="79"/>
      <c r="E123" s="79"/>
      <c r="F123" s="79"/>
      <c r="G123" s="79"/>
      <c r="H123" s="80">
        <f>SUM(H118+H119+H120)</f>
        <v>0.1425</v>
      </c>
      <c r="I123" s="89"/>
      <c r="J123" s="128"/>
      <c r="K123" s="105"/>
      <c r="L123" s="105"/>
    </row>
    <row r="124" customFormat="1" ht="15.75" customHeight="1" spans="1:12">
      <c r="A124" s="78"/>
      <c r="B124" s="79">
        <v>100</v>
      </c>
      <c r="C124" s="79"/>
      <c r="D124" s="79"/>
      <c r="E124" s="79"/>
      <c r="F124" s="79"/>
      <c r="G124" s="79"/>
      <c r="H124" s="80"/>
      <c r="I124" s="89"/>
      <c r="J124" s="128"/>
      <c r="K124" s="105"/>
      <c r="L124" s="105"/>
    </row>
    <row r="125" customFormat="1" ht="15.75" customHeight="1" spans="1:12">
      <c r="A125" s="81"/>
      <c r="B125" s="82"/>
      <c r="C125" s="82"/>
      <c r="D125" s="82"/>
      <c r="E125" s="82"/>
      <c r="F125" s="82"/>
      <c r="G125" s="82"/>
      <c r="H125" s="80"/>
      <c r="I125" s="89"/>
      <c r="J125" s="128"/>
      <c r="K125" s="133"/>
      <c r="L125" s="133"/>
    </row>
    <row r="126" customFormat="1" ht="15.75" customHeight="1" spans="1:12">
      <c r="A126" s="78" t="s">
        <v>205</v>
      </c>
      <c r="B126" s="79" t="s">
        <v>206</v>
      </c>
      <c r="C126" s="79"/>
      <c r="D126" s="79"/>
      <c r="E126" s="79"/>
      <c r="F126" s="79"/>
      <c r="G126" s="79"/>
      <c r="H126" s="80"/>
      <c r="I126" s="89">
        <f>I112+I115+I116</f>
        <v>4791.29666666667</v>
      </c>
      <c r="J126" s="128"/>
      <c r="K126" s="105"/>
      <c r="L126" s="105"/>
    </row>
    <row r="127" customFormat="1" ht="15.75" customHeight="1" spans="1:12">
      <c r="A127" s="78"/>
      <c r="B127" s="82"/>
      <c r="C127" s="82"/>
      <c r="D127" s="82"/>
      <c r="E127" s="82"/>
      <c r="F127" s="82"/>
      <c r="G127" s="82"/>
      <c r="H127" s="80"/>
      <c r="I127" s="89"/>
      <c r="J127" s="128"/>
      <c r="K127" s="105"/>
      <c r="L127" s="105"/>
    </row>
    <row r="128" customFormat="1" ht="15.75" customHeight="1" spans="1:12">
      <c r="A128" s="78" t="s">
        <v>207</v>
      </c>
      <c r="B128" s="79" t="s">
        <v>208</v>
      </c>
      <c r="C128" s="79"/>
      <c r="D128" s="79"/>
      <c r="E128" s="79"/>
      <c r="F128" s="79"/>
      <c r="G128" s="79"/>
      <c r="H128" s="80"/>
      <c r="I128" s="89">
        <f>ROUND(I126/(1-H123),2)</f>
        <v>5587.52</v>
      </c>
      <c r="J128" s="128"/>
      <c r="K128" s="105"/>
      <c r="L128" s="105"/>
    </row>
    <row r="129" customFormat="1" ht="15.75" customHeight="1" spans="1:12">
      <c r="A129" s="78"/>
      <c r="B129" s="82"/>
      <c r="C129" s="82"/>
      <c r="D129" s="82"/>
      <c r="E129" s="82"/>
      <c r="F129" s="82"/>
      <c r="G129" s="82"/>
      <c r="H129" s="80"/>
      <c r="I129" s="89"/>
      <c r="J129" s="128"/>
      <c r="K129" s="105"/>
      <c r="L129" s="105"/>
    </row>
    <row r="130" customFormat="1" ht="15.75" customHeight="1" spans="1:12">
      <c r="A130" s="78"/>
      <c r="B130" s="79" t="s">
        <v>209</v>
      </c>
      <c r="C130" s="79"/>
      <c r="D130" s="79"/>
      <c r="E130" s="79"/>
      <c r="F130" s="79"/>
      <c r="G130" s="79"/>
      <c r="H130" s="80"/>
      <c r="I130" s="89">
        <f>I128-I126</f>
        <v>796.223333333333</v>
      </c>
      <c r="J130" s="128"/>
      <c r="K130" s="105"/>
      <c r="L130" s="105"/>
    </row>
    <row r="131" customFormat="1" ht="15.75" customHeight="1" spans="1:12">
      <c r="A131" s="76"/>
      <c r="B131" s="90"/>
      <c r="C131" s="90"/>
      <c r="D131" s="90"/>
      <c r="E131" s="90"/>
      <c r="F131" s="90"/>
      <c r="G131" s="90"/>
      <c r="H131" s="90"/>
      <c r="I131" s="91"/>
      <c r="J131" s="128"/>
      <c r="K131" s="105"/>
      <c r="L131" s="105"/>
    </row>
    <row r="132" customFormat="1" ht="15.75" customHeight="1" spans="1:12">
      <c r="A132" s="30" t="s">
        <v>210</v>
      </c>
      <c r="B132" s="30"/>
      <c r="C132" s="30"/>
      <c r="D132" s="30"/>
      <c r="E132" s="30"/>
      <c r="F132" s="30"/>
      <c r="G132" s="30"/>
      <c r="H132" s="30"/>
      <c r="I132" s="30"/>
      <c r="J132" s="128"/>
      <c r="K132" s="105"/>
      <c r="L132" s="105"/>
    </row>
    <row r="133" customFormat="1" ht="15.75" customHeight="1" spans="1:12">
      <c r="A133" s="30" t="s">
        <v>211</v>
      </c>
      <c r="B133" s="30"/>
      <c r="C133" s="30"/>
      <c r="D133" s="30"/>
      <c r="E133" s="30"/>
      <c r="F133" s="30"/>
      <c r="G133" s="30"/>
      <c r="H133" s="30"/>
      <c r="I133" s="30" t="s">
        <v>81</v>
      </c>
      <c r="J133" s="128"/>
      <c r="K133" s="133"/>
      <c r="L133" s="133"/>
    </row>
    <row r="134" customFormat="1" ht="15.75" customHeight="1" spans="1:12">
      <c r="A134" s="29" t="s">
        <v>38</v>
      </c>
      <c r="B134" s="31" t="str">
        <f>A23</f>
        <v>MÓDULO 1 - COMPOSIÇÃO DA REMUNERAÇÃO</v>
      </c>
      <c r="C134" s="31"/>
      <c r="D134" s="31"/>
      <c r="E134" s="31"/>
      <c r="F134" s="31"/>
      <c r="G134" s="31"/>
      <c r="H134" s="31"/>
      <c r="I134" s="92">
        <f>I31</f>
        <v>1879.18</v>
      </c>
      <c r="J134" s="128"/>
      <c r="K134" s="133"/>
      <c r="L134" s="133"/>
    </row>
    <row r="135" customFormat="1" ht="15.75" customHeight="1" spans="1:12">
      <c r="A135" s="29" t="s">
        <v>41</v>
      </c>
      <c r="B135" s="31" t="str">
        <f>A33</f>
        <v>MÓDULO 2 – ENCARGOS E BENEFÍCIOS ANUAIS, MENSAIS E DIÁRIOS</v>
      </c>
      <c r="C135" s="31"/>
      <c r="D135" s="31"/>
      <c r="E135" s="31"/>
      <c r="F135" s="31"/>
      <c r="G135" s="31"/>
      <c r="H135" s="31"/>
      <c r="I135" s="92">
        <f>I64</f>
        <v>1887.16</v>
      </c>
      <c r="J135" s="128"/>
      <c r="K135" s="133"/>
      <c r="L135" s="133"/>
    </row>
    <row r="136" customFormat="1" ht="15.75" customHeight="1" spans="1:12">
      <c r="A136" s="29" t="s">
        <v>45</v>
      </c>
      <c r="B136" s="31" t="str">
        <f>A68</f>
        <v>MÓDULO 3 – PROVISÃO PARA RESCISÃO</v>
      </c>
      <c r="C136" s="31"/>
      <c r="D136" s="31"/>
      <c r="E136" s="31"/>
      <c r="F136" s="31"/>
      <c r="G136" s="31"/>
      <c r="H136" s="31"/>
      <c r="I136" s="92">
        <f>I75</f>
        <v>265.15</v>
      </c>
      <c r="J136" s="128"/>
      <c r="K136" s="96"/>
      <c r="L136" s="96"/>
    </row>
    <row r="137" customFormat="1" ht="15.75" customHeight="1" spans="1:12">
      <c r="A137" s="29" t="s">
        <v>49</v>
      </c>
      <c r="B137" s="31" t="str">
        <f>A80</f>
        <v>MÓDULO 4 – CUSTO DE REPOSIÇÃO DO PROFISSIONAL AUSENTE</v>
      </c>
      <c r="C137" s="31"/>
      <c r="D137" s="31"/>
      <c r="E137" s="31"/>
      <c r="F137" s="31"/>
      <c r="G137" s="31"/>
      <c r="H137" s="31"/>
      <c r="I137" s="92">
        <f>I98</f>
        <v>77.4</v>
      </c>
      <c r="J137" s="181"/>
      <c r="K137" s="96"/>
      <c r="L137" s="96"/>
    </row>
    <row r="138" customFormat="1" ht="15.75" customHeight="1" spans="1:12">
      <c r="A138" s="29" t="s">
        <v>90</v>
      </c>
      <c r="B138" s="31" t="str">
        <f>A100</f>
        <v>MÓDULO 5 – INSUMOS DIVERSOS</v>
      </c>
      <c r="C138" s="31"/>
      <c r="D138" s="31"/>
      <c r="E138" s="31"/>
      <c r="F138" s="31"/>
      <c r="G138" s="31"/>
      <c r="H138" s="31"/>
      <c r="I138" s="92">
        <f>I106</f>
        <v>39.4166666666667</v>
      </c>
      <c r="J138" s="128"/>
      <c r="K138" s="96"/>
      <c r="L138" s="96"/>
    </row>
    <row r="139" customFormat="1" ht="15.75" customHeight="1" spans="1:12">
      <c r="A139" s="30" t="s">
        <v>212</v>
      </c>
      <c r="B139" s="30"/>
      <c r="C139" s="30"/>
      <c r="D139" s="30"/>
      <c r="E139" s="30"/>
      <c r="F139" s="30"/>
      <c r="G139" s="30"/>
      <c r="H139" s="30"/>
      <c r="I139" s="57">
        <f>SUM(I134:I138)</f>
        <v>4148.30666666667</v>
      </c>
      <c r="J139" s="128"/>
      <c r="K139" s="95"/>
      <c r="L139" s="95"/>
    </row>
    <row r="140" customFormat="1" ht="15.75" customHeight="1" spans="1:12">
      <c r="A140" s="29" t="s">
        <v>92</v>
      </c>
      <c r="B140" s="31" t="str">
        <f>A113</f>
        <v>MÓDULO 6 – CUSTOS INDIRETOS, TRIBUTOS E LUCRO</v>
      </c>
      <c r="C140" s="31"/>
      <c r="D140" s="31"/>
      <c r="E140" s="31"/>
      <c r="F140" s="31"/>
      <c r="G140" s="31"/>
      <c r="H140" s="31"/>
      <c r="I140" s="92">
        <f>I121</f>
        <v>1439.21</v>
      </c>
      <c r="J140" s="182">
        <f>SUM(J30:J139)</f>
        <v>3315.6362</v>
      </c>
      <c r="K140" s="95"/>
      <c r="L140" s="95"/>
    </row>
    <row r="141" customFormat="1" ht="15.75" customHeight="1" spans="1:12">
      <c r="A141" s="30" t="s">
        <v>213</v>
      </c>
      <c r="B141" s="30"/>
      <c r="C141" s="30"/>
      <c r="D141" s="30"/>
      <c r="E141" s="30"/>
      <c r="F141" s="30"/>
      <c r="G141" s="30"/>
      <c r="H141" s="30"/>
      <c r="I141" s="57">
        <f>SUM(I139:I140)</f>
        <v>5587.51666666667</v>
      </c>
      <c r="J141" s="95"/>
      <c r="K141" s="95"/>
      <c r="L141" s="95"/>
    </row>
    <row r="142" customFormat="1" ht="15.75" customHeight="1" spans="9:9">
      <c r="I142" s="93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1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K49:L49"/>
    <mergeCell ref="A50:G50"/>
    <mergeCell ref="K50:L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15:G115"/>
    <mergeCell ref="B116:G116"/>
    <mergeCell ref="B117:G117"/>
    <mergeCell ref="B118:G118"/>
    <mergeCell ref="B119:G119"/>
    <mergeCell ref="B120:G120"/>
    <mergeCell ref="A121:G121"/>
    <mergeCell ref="B122:I122"/>
    <mergeCell ref="B123:G123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37:H137"/>
    <mergeCell ref="B138:H138"/>
    <mergeCell ref="A139:H139"/>
    <mergeCell ref="B140:H140"/>
    <mergeCell ref="A141:H141"/>
    <mergeCell ref="J3:J30"/>
    <mergeCell ref="K52:K54"/>
    <mergeCell ref="L52:L54"/>
    <mergeCell ref="A38:F40"/>
    <mergeCell ref="A65:F67"/>
    <mergeCell ref="A76:F79"/>
    <mergeCell ref="A107:F112"/>
    <mergeCell ref="K62:L71"/>
  </mergeCells>
  <pageMargins left="0.75" right="0.75" top="1" bottom="1" header="0.5" footer="0.5"/>
  <pageSetup paperSize="9" scale="36" fitToHeight="0" orientation="portrait"/>
  <headerFooter/>
  <rowBreaks count="1" manualBreakCount="1">
    <brk id="7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LibreOffice/6.2.3.2$Windows_X86_64 LibreOffice_project/aecc05fe267cc68dde00352a451aa867b3b546ac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QUADRO RESUMO</vt:lpstr>
      <vt:lpstr>MOTORISTA TERESINA</vt:lpstr>
      <vt:lpstr>MOTORISTA CT TERESINA</vt:lpstr>
      <vt:lpstr>MOTORISTA FLORIANO</vt:lpstr>
      <vt:lpstr>MOTORISTA CT FLORIANO</vt:lpstr>
      <vt:lpstr>MOTORISTA BOM JESUS</vt:lpstr>
      <vt:lpstr>MOTORISTA CT BOM JESUS</vt:lpstr>
      <vt:lpstr>MOTORISTA HVU BOM JESUS</vt:lpstr>
      <vt:lpstr>MOTORISTA PICOS</vt:lpstr>
      <vt:lpstr>DIÁRIAS</vt:lpstr>
      <vt:lpstr>UNIFORMES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CPL</cp:lastModifiedBy>
  <cp:revision>12</cp:revision>
  <dcterms:created xsi:type="dcterms:W3CDTF">2023-05-30T10:38:00Z</dcterms:created>
  <dcterms:modified xsi:type="dcterms:W3CDTF">2025-12-30T12:25:29Z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DBAB1E4DA6E744FDBB7D8D4A781E21CB_13</vt:lpwstr>
  </property>
  <property fmtid="{D5CDD505-2E9C-101B-9397-08002B2CF9AE}" pid="3" name="KSOProductBuildVer">
    <vt:lpwstr>1046-12.2.0.23196</vt:lpwstr>
  </property>
  <property fmtid="{D5CDD505-2E9C-101B-9397-08002B2CF9AE}" pid="4" name="KSOReadingLayout">
    <vt:bool>true</vt:bool>
  </property>
</Properties>
</file>